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280" windowHeight="4890"/>
  </bookViews>
  <sheets>
    <sheet name="Plan1" sheetId="1" r:id="rId1"/>
    <sheet name="BDI" sheetId="2" r:id="rId2"/>
    <sheet name="Plan3" sheetId="3" r:id="rId3"/>
  </sheets>
  <definedNames>
    <definedName name="_xlnm.Print_Area" localSheetId="0">Plan1!$A$1:$N$192</definedName>
  </definedNames>
  <calcPr calcId="145621"/>
</workbook>
</file>

<file path=xl/calcChain.xml><?xml version="1.0" encoding="utf-8"?>
<calcChain xmlns="http://schemas.openxmlformats.org/spreadsheetml/2006/main">
  <c r="K14" i="1" l="1"/>
  <c r="J72" i="1"/>
  <c r="K72" i="1"/>
  <c r="K70" i="1"/>
  <c r="K69" i="1"/>
  <c r="K66" i="1"/>
  <c r="K65" i="1"/>
  <c r="K64" i="1"/>
  <c r="K63" i="1"/>
  <c r="K60" i="1"/>
  <c r="K59" i="1"/>
  <c r="K58" i="1"/>
  <c r="K57" i="1"/>
  <c r="K56" i="1"/>
  <c r="K55" i="1"/>
  <c r="K52" i="1"/>
  <c r="K51" i="1"/>
  <c r="K50" i="1"/>
  <c r="K49" i="1"/>
  <c r="K48" i="1"/>
  <c r="K47" i="1"/>
  <c r="K46" i="1"/>
  <c r="K45" i="1"/>
  <c r="K38" i="1"/>
  <c r="K37" i="1"/>
  <c r="K36" i="1"/>
  <c r="K35" i="1"/>
  <c r="K34" i="1"/>
  <c r="K33" i="1"/>
  <c r="K32" i="1"/>
  <c r="K31" i="1"/>
  <c r="K30" i="1"/>
  <c r="K29" i="1"/>
  <c r="K28" i="1"/>
  <c r="K25" i="1"/>
  <c r="J70" i="1"/>
  <c r="J69" i="1"/>
  <c r="L69" i="1" s="1"/>
  <c r="J66" i="1"/>
  <c r="J65" i="1"/>
  <c r="J64" i="1"/>
  <c r="J63" i="1"/>
  <c r="J60" i="1"/>
  <c r="J59" i="1"/>
  <c r="J58" i="1"/>
  <c r="J57" i="1"/>
  <c r="J56" i="1"/>
  <c r="J55" i="1"/>
  <c r="J52" i="1"/>
  <c r="J51" i="1"/>
  <c r="J50" i="1"/>
  <c r="J49" i="1"/>
  <c r="J48" i="1"/>
  <c r="J47" i="1"/>
  <c r="J46" i="1"/>
  <c r="J45" i="1"/>
  <c r="J38" i="1"/>
  <c r="J37" i="1"/>
  <c r="J36" i="1"/>
  <c r="J35" i="1"/>
  <c r="J34" i="1"/>
  <c r="J33" i="1"/>
  <c r="J32" i="1"/>
  <c r="J31" i="1"/>
  <c r="J30" i="1"/>
  <c r="J29" i="1"/>
  <c r="J28" i="1"/>
  <c r="K24" i="1"/>
  <c r="K23" i="1"/>
  <c r="K22" i="1"/>
  <c r="K21" i="1"/>
  <c r="K20" i="1"/>
  <c r="K19" i="1"/>
  <c r="K18" i="1"/>
  <c r="K17" i="1"/>
  <c r="J25" i="1"/>
  <c r="J24" i="1"/>
  <c r="J23" i="1"/>
  <c r="J22" i="1"/>
  <c r="J21" i="1"/>
  <c r="J20" i="1"/>
  <c r="J19" i="1"/>
  <c r="J18" i="1"/>
  <c r="J17" i="1"/>
  <c r="J14" i="1"/>
  <c r="K13" i="1"/>
  <c r="K12" i="1"/>
  <c r="K11" i="1"/>
  <c r="K10" i="1"/>
  <c r="J13" i="1"/>
  <c r="J12" i="1"/>
  <c r="J11" i="1"/>
  <c r="J10" i="1"/>
  <c r="K9" i="1"/>
  <c r="J9" i="1"/>
  <c r="C27" i="2" l="1"/>
  <c r="C13" i="2"/>
  <c r="C9" i="2"/>
  <c r="C17" i="2"/>
  <c r="C22" i="2"/>
  <c r="D59" i="1" l="1"/>
  <c r="H59" i="1" s="1"/>
  <c r="M59" i="1" s="1"/>
  <c r="G59" i="1" l="1"/>
  <c r="L59" i="1" s="1"/>
  <c r="I59" i="1"/>
  <c r="N59" i="1" s="1"/>
  <c r="J142" i="1"/>
  <c r="L182" i="1"/>
  <c r="L184" i="1" s="1"/>
  <c r="K189" i="1"/>
  <c r="L189" i="1" s="1"/>
  <c r="J149" i="1"/>
  <c r="J151" i="1" s="1"/>
  <c r="J153" i="1" s="1"/>
  <c r="J155" i="1" s="1"/>
  <c r="J157" i="1" s="1"/>
  <c r="J167" i="1" s="1"/>
  <c r="J169" i="1" s="1"/>
  <c r="K171" i="1" s="1"/>
  <c r="K173" i="1" s="1"/>
  <c r="K106" i="1"/>
  <c r="K108" i="1" s="1"/>
  <c r="K110" i="1" s="1"/>
  <c r="K112" i="1" s="1"/>
  <c r="K104" i="1"/>
  <c r="F23" i="1"/>
  <c r="L70" i="1"/>
  <c r="H169" i="1"/>
  <c r="H170" i="1" s="1"/>
  <c r="F48" i="1" l="1"/>
  <c r="F46" i="1"/>
  <c r="F29" i="1"/>
  <c r="F28" i="1"/>
  <c r="F45" i="1"/>
  <c r="F17" i="1"/>
  <c r="H69" i="1"/>
  <c r="M69" i="1" s="1"/>
  <c r="G9" i="1"/>
  <c r="L9" i="1" s="1"/>
  <c r="H9" i="1"/>
  <c r="M9" i="1" s="1"/>
  <c r="G10" i="1"/>
  <c r="L10" i="1" s="1"/>
  <c r="H10" i="1"/>
  <c r="M10" i="1" s="1"/>
  <c r="G11" i="1"/>
  <c r="L11" i="1" s="1"/>
  <c r="H11" i="1"/>
  <c r="M11" i="1" s="1"/>
  <c r="G12" i="1"/>
  <c r="L12" i="1" s="1"/>
  <c r="H12" i="1"/>
  <c r="M12" i="1" s="1"/>
  <c r="I69" i="1" l="1"/>
  <c r="I70" i="1" s="1"/>
  <c r="I12" i="1"/>
  <c r="I11" i="1"/>
  <c r="I10" i="1"/>
  <c r="I9" i="1"/>
  <c r="N12" i="1"/>
  <c r="J92" i="1" s="1"/>
  <c r="N11" i="1"/>
  <c r="I90" i="1" s="1"/>
  <c r="N10" i="1"/>
  <c r="I88" i="1" s="1"/>
  <c r="N9" i="1"/>
  <c r="I86" i="1" l="1"/>
  <c r="H34" i="1"/>
  <c r="M34" i="1" s="1"/>
  <c r="H17" i="1"/>
  <c r="M17" i="1" s="1"/>
  <c r="F24" i="1"/>
  <c r="F36" i="1"/>
  <c r="H57" i="1"/>
  <c r="M57" i="1" s="1"/>
  <c r="G57" i="1"/>
  <c r="L57" i="1" s="1"/>
  <c r="H58" i="1"/>
  <c r="M58" i="1" s="1"/>
  <c r="G58" i="1"/>
  <c r="L58" i="1" s="1"/>
  <c r="F19" i="1"/>
  <c r="H46" i="1"/>
  <c r="M46" i="1" s="1"/>
  <c r="H65" i="1"/>
  <c r="M65" i="1" s="1"/>
  <c r="H64" i="1"/>
  <c r="M64" i="1" s="1"/>
  <c r="H63" i="1"/>
  <c r="M63" i="1" s="1"/>
  <c r="G65" i="1"/>
  <c r="L65" i="1" s="1"/>
  <c r="G64" i="1"/>
  <c r="L64" i="1" s="1"/>
  <c r="G63" i="1"/>
  <c r="L63" i="1" s="1"/>
  <c r="H28" i="1"/>
  <c r="M28" i="1" s="1"/>
  <c r="H36" i="1"/>
  <c r="M36" i="1" s="1"/>
  <c r="H29" i="1"/>
  <c r="M29" i="1" s="1"/>
  <c r="G51" i="1"/>
  <c r="L51" i="1" s="1"/>
  <c r="G50" i="1"/>
  <c r="L50" i="1" s="1"/>
  <c r="G49" i="1"/>
  <c r="L49" i="1" s="1"/>
  <c r="G48" i="1"/>
  <c r="L48" i="1" s="1"/>
  <c r="G47" i="1"/>
  <c r="L47" i="1" s="1"/>
  <c r="G46" i="1"/>
  <c r="L46" i="1" s="1"/>
  <c r="G37" i="1"/>
  <c r="L37" i="1" s="1"/>
  <c r="G36" i="1"/>
  <c r="L36" i="1" s="1"/>
  <c r="G35" i="1"/>
  <c r="L35" i="1" s="1"/>
  <c r="G34" i="1"/>
  <c r="L34" i="1" s="1"/>
  <c r="G33" i="1"/>
  <c r="L33" i="1" s="1"/>
  <c r="G32" i="1"/>
  <c r="L32" i="1" s="1"/>
  <c r="G31" i="1"/>
  <c r="L31" i="1" s="1"/>
  <c r="G30" i="1"/>
  <c r="L30" i="1" s="1"/>
  <c r="G29" i="1"/>
  <c r="L29" i="1" s="1"/>
  <c r="G28" i="1"/>
  <c r="L28" i="1" s="1"/>
  <c r="G24" i="1"/>
  <c r="L24" i="1" s="1"/>
  <c r="G23" i="1"/>
  <c r="L23" i="1" s="1"/>
  <c r="G22" i="1"/>
  <c r="L22" i="1" s="1"/>
  <c r="G21" i="1"/>
  <c r="L21" i="1" s="1"/>
  <c r="G20" i="1"/>
  <c r="L20" i="1" s="1"/>
  <c r="H51" i="1"/>
  <c r="M51" i="1" s="1"/>
  <c r="H50" i="1"/>
  <c r="M50" i="1" s="1"/>
  <c r="H49" i="1"/>
  <c r="M49" i="1" s="1"/>
  <c r="H48" i="1"/>
  <c r="M48" i="1" s="1"/>
  <c r="H47" i="1"/>
  <c r="M47" i="1" s="1"/>
  <c r="H37" i="1"/>
  <c r="M37" i="1" s="1"/>
  <c r="F35" i="1"/>
  <c r="H35" i="1" s="1"/>
  <c r="M35" i="1" s="1"/>
  <c r="H33" i="1"/>
  <c r="M33" i="1" s="1"/>
  <c r="H32" i="1"/>
  <c r="M32" i="1" s="1"/>
  <c r="H31" i="1"/>
  <c r="M31" i="1" s="1"/>
  <c r="H30" i="1"/>
  <c r="M30" i="1" s="1"/>
  <c r="H24" i="1"/>
  <c r="M24" i="1" s="1"/>
  <c r="G55" i="1"/>
  <c r="L55" i="1" s="1"/>
  <c r="H23" i="1"/>
  <c r="M23" i="1" s="1"/>
  <c r="F22" i="1"/>
  <c r="H22" i="1" s="1"/>
  <c r="M22" i="1" s="1"/>
  <c r="F21" i="1"/>
  <c r="H21" i="1" s="1"/>
  <c r="M21" i="1" s="1"/>
  <c r="F20" i="1"/>
  <c r="H20" i="1" s="1"/>
  <c r="M20" i="1" s="1"/>
  <c r="G19" i="1"/>
  <c r="L19" i="1" s="1"/>
  <c r="H19" i="1"/>
  <c r="M19" i="1" s="1"/>
  <c r="G17" i="1"/>
  <c r="L17" i="1" s="1"/>
  <c r="G13" i="1"/>
  <c r="L13" i="1" s="1"/>
  <c r="H13" i="1"/>
  <c r="M13" i="1" s="1"/>
  <c r="H18" i="1"/>
  <c r="M18" i="1" s="1"/>
  <c r="H45" i="1"/>
  <c r="M45" i="1" s="1"/>
  <c r="N19" i="1" l="1"/>
  <c r="K103" i="1" s="1"/>
  <c r="N21" i="1"/>
  <c r="K107" i="1" s="1"/>
  <c r="N22" i="1"/>
  <c r="K109" i="1" s="1"/>
  <c r="N23" i="1"/>
  <c r="K111" i="1" s="1"/>
  <c r="N24" i="1"/>
  <c r="K113" i="1" s="1"/>
  <c r="N30" i="1"/>
  <c r="J127" i="1" s="1"/>
  <c r="N31" i="1"/>
  <c r="J129" i="1" s="1"/>
  <c r="N32" i="1"/>
  <c r="J131" i="1" s="1"/>
  <c r="N33" i="1"/>
  <c r="J133" i="1" s="1"/>
  <c r="N35" i="1"/>
  <c r="J137" i="1" s="1"/>
  <c r="N37" i="1"/>
  <c r="J141" i="1" s="1"/>
  <c r="I13" i="1"/>
  <c r="I14" i="1" s="1"/>
  <c r="L14" i="1"/>
  <c r="I17" i="1"/>
  <c r="I19" i="1"/>
  <c r="I20" i="1"/>
  <c r="I21" i="1"/>
  <c r="I22" i="1"/>
  <c r="I23" i="1"/>
  <c r="I24" i="1"/>
  <c r="I28" i="1"/>
  <c r="I29" i="1"/>
  <c r="I30" i="1"/>
  <c r="I31" i="1"/>
  <c r="I32" i="1"/>
  <c r="I33" i="1"/>
  <c r="I34" i="1"/>
  <c r="I35" i="1"/>
  <c r="I36" i="1"/>
  <c r="I37" i="1"/>
  <c r="I46" i="1"/>
  <c r="I47" i="1"/>
  <c r="I48" i="1"/>
  <c r="I49" i="1"/>
  <c r="I50" i="1"/>
  <c r="I51" i="1"/>
  <c r="I63" i="1"/>
  <c r="I64" i="1"/>
  <c r="I65" i="1"/>
  <c r="I58" i="1"/>
  <c r="I57" i="1"/>
  <c r="M70" i="1"/>
  <c r="N58" i="1"/>
  <c r="K174" i="1" s="1"/>
  <c r="G14" i="1"/>
  <c r="H14" i="1"/>
  <c r="N57" i="1"/>
  <c r="K172" i="1" s="1"/>
  <c r="K178" i="1" s="1"/>
  <c r="N63" i="1"/>
  <c r="L181" i="1" s="1"/>
  <c r="N65" i="1"/>
  <c r="L185" i="1" s="1"/>
  <c r="G70" i="1"/>
  <c r="H70" i="1"/>
  <c r="M52" i="1"/>
  <c r="G66" i="1"/>
  <c r="D56" i="1"/>
  <c r="G56" i="1" s="1"/>
  <c r="L56" i="1" s="1"/>
  <c r="N69" i="1"/>
  <c r="G38" i="1"/>
  <c r="H66" i="1"/>
  <c r="N50" i="1"/>
  <c r="J154" i="1" s="1"/>
  <c r="H52" i="1"/>
  <c r="H38" i="1"/>
  <c r="H25" i="1"/>
  <c r="N48" i="1"/>
  <c r="J152" i="1" s="1"/>
  <c r="N46" i="1"/>
  <c r="J148" i="1" s="1"/>
  <c r="N47" i="1"/>
  <c r="J150" i="1" s="1"/>
  <c r="N49" i="1"/>
  <c r="J156" i="1" s="1"/>
  <c r="N51" i="1"/>
  <c r="J158" i="1" s="1"/>
  <c r="G45" i="1"/>
  <c r="L45" i="1" s="1"/>
  <c r="H55" i="1"/>
  <c r="M55" i="1" s="1"/>
  <c r="H56" i="1"/>
  <c r="M56" i="1" s="1"/>
  <c r="G18" i="1"/>
  <c r="L18" i="1" s="1"/>
  <c r="G60" i="1" l="1"/>
  <c r="N36" i="1"/>
  <c r="J139" i="1" s="1"/>
  <c r="N34" i="1"/>
  <c r="J135" i="1" s="1"/>
  <c r="N29" i="1"/>
  <c r="J125" i="1" s="1"/>
  <c r="M38" i="1"/>
  <c r="N28" i="1"/>
  <c r="J123" i="1" s="1"/>
  <c r="N20" i="1"/>
  <c r="K105" i="1" s="1"/>
  <c r="M60" i="1"/>
  <c r="H60" i="1"/>
  <c r="H72" i="1" s="1"/>
  <c r="J143" i="1"/>
  <c r="G25" i="1"/>
  <c r="I18" i="1"/>
  <c r="I45" i="1"/>
  <c r="I52" i="1" s="1"/>
  <c r="L52" i="1"/>
  <c r="I56" i="1"/>
  <c r="L66" i="1"/>
  <c r="I66" i="1"/>
  <c r="L38" i="1"/>
  <c r="I38" i="1"/>
  <c r="I55" i="1"/>
  <c r="I60" i="1" s="1"/>
  <c r="L25" i="1"/>
  <c r="I25" i="1"/>
  <c r="I72" i="1" s="1"/>
  <c r="L160" i="1"/>
  <c r="K160" i="1"/>
  <c r="N38" i="1"/>
  <c r="G52" i="1"/>
  <c r="N55" i="1"/>
  <c r="N64" i="1"/>
  <c r="L183" i="1" s="1"/>
  <c r="M66" i="1"/>
  <c r="G72" i="1" l="1"/>
  <c r="N17" i="1"/>
  <c r="M25" i="1"/>
  <c r="M14" i="1"/>
  <c r="N13" i="1"/>
  <c r="L187" i="1"/>
  <c r="M187" i="1" s="1"/>
  <c r="J168" i="1"/>
  <c r="M143" i="1"/>
  <c r="N66" i="1"/>
  <c r="N70" i="1"/>
  <c r="M72" i="1"/>
  <c r="N45" i="1"/>
  <c r="N18" i="1"/>
  <c r="L60" i="1" l="1"/>
  <c r="L72" i="1" s="1"/>
  <c r="N56" i="1"/>
  <c r="J94" i="1"/>
  <c r="J96" i="1" s="1"/>
  <c r="I94" i="1"/>
  <c r="I96" i="1" s="1"/>
  <c r="N14" i="1"/>
  <c r="J99" i="1"/>
  <c r="K99" i="1"/>
  <c r="L190" i="1"/>
  <c r="L192" i="1" s="1"/>
  <c r="K190" i="1"/>
  <c r="J190" i="1"/>
  <c r="M190" i="1" s="1"/>
  <c r="K101" i="1"/>
  <c r="K115" i="1" s="1"/>
  <c r="K192" i="1" s="1"/>
  <c r="J101" i="1"/>
  <c r="J146" i="1"/>
  <c r="J160" i="1" s="1"/>
  <c r="I146" i="1"/>
  <c r="I160" i="1" s="1"/>
  <c r="J115" i="1"/>
  <c r="N25" i="1"/>
  <c r="N52" i="1"/>
  <c r="N60" i="1" l="1"/>
  <c r="J170" i="1"/>
  <c r="J178" i="1" s="1"/>
  <c r="M178" i="1" s="1"/>
  <c r="K177" i="1" s="1"/>
  <c r="M96" i="1"/>
  <c r="I95" i="1"/>
  <c r="J95" i="1"/>
  <c r="I192" i="1"/>
  <c r="M160" i="1"/>
  <c r="I159" i="1" s="1"/>
  <c r="J159" i="1"/>
  <c r="J177" i="1"/>
  <c r="M115" i="1"/>
  <c r="J114" i="1"/>
  <c r="K114" i="1"/>
  <c r="N72" i="1"/>
  <c r="N73" i="1" s="1"/>
  <c r="J192" i="1" l="1"/>
  <c r="M192" i="1"/>
  <c r="L191" i="1" l="1"/>
  <c r="K191" i="1"/>
  <c r="J191" i="1"/>
  <c r="I191" i="1"/>
</calcChain>
</file>

<file path=xl/sharedStrings.xml><?xml version="1.0" encoding="utf-8"?>
<sst xmlns="http://schemas.openxmlformats.org/spreadsheetml/2006/main" count="321" uniqueCount="152">
  <si>
    <t>Câmara Municipal de Vereadores de Porto Alegre</t>
  </si>
  <si>
    <t>Unidade</t>
  </si>
  <si>
    <t>Quantidade</t>
  </si>
  <si>
    <t xml:space="preserve">Haste aterramento aço cobreada 5/8" x 2.400mm </t>
  </si>
  <si>
    <t>Conector haste aterramento tipo haste/cabo 16,0 mm²</t>
  </si>
  <si>
    <t>Eletroduto PEAD flexível d=100mm</t>
  </si>
  <si>
    <t>pç</t>
  </si>
  <si>
    <t>m</t>
  </si>
  <si>
    <t>m³</t>
  </si>
  <si>
    <t>m²</t>
  </si>
  <si>
    <t xml:space="preserve"> </t>
  </si>
  <si>
    <t>Conectores MC4 macho/fêmea p/cabo PV 6,00 mm²</t>
  </si>
  <si>
    <t>br</t>
  </si>
  <si>
    <t>R$/kWp  - Custo unitário da Central Fotovoltaica</t>
  </si>
  <si>
    <t>Parametrização e start-up inversores</t>
  </si>
  <si>
    <t>EQUIPAMENTOS</t>
  </si>
  <si>
    <t>MAT/EQUIP</t>
  </si>
  <si>
    <t>MO</t>
  </si>
  <si>
    <t>TOTAL</t>
  </si>
  <si>
    <t>Concreto usinado para fundações pilares</t>
  </si>
  <si>
    <t>OBRAS CIVIS</t>
  </si>
  <si>
    <t>Total Parcial item 01</t>
  </si>
  <si>
    <t>Total Parcial Item 02</t>
  </si>
  <si>
    <t>ESTRUTURA METÁLICA</t>
  </si>
  <si>
    <t>Total Parcial Item 03</t>
  </si>
  <si>
    <t>Placas de sinalização de obra</t>
  </si>
  <si>
    <t>Conectores intermediários liga alumínio 6063 ou similar</t>
  </si>
  <si>
    <t>ENTREGA TÉCNICA</t>
  </si>
  <si>
    <t>Total parcial Ítem 07</t>
  </si>
  <si>
    <t>TOTAL GERAL (01 + 02 + 03 + 04 + 05 + 06 + 07)</t>
  </si>
  <si>
    <t>Comissionamento e testes de operação</t>
  </si>
  <si>
    <t>Módulo Fotovoltaico Monocristalino 330W - 72 células - Inmetro A</t>
  </si>
  <si>
    <t xml:space="preserve">Inversor Trifásico 380 V On Grid - Potência Nominal 33 kW -  IP 65 </t>
  </si>
  <si>
    <t>kW</t>
  </si>
  <si>
    <t>par</t>
  </si>
  <si>
    <t xml:space="preserve">Disjuntor tripolar caixa moldada 3x500 A - Icc 80 kA/380V </t>
  </si>
  <si>
    <t xml:space="preserve">Perfil estrutural liga alumínio 6063 40x40 mm tipo universal </t>
  </si>
  <si>
    <t>INSTALAÇÕES ELÉTRICAS BT</t>
  </si>
  <si>
    <t>Chumbadores tipo "J" 25x600mm para base concreto</t>
  </si>
  <si>
    <t>Cabo solar 6,00 mm² 1,0 kV 120°C uso ao tempo proteção UV preta</t>
  </si>
  <si>
    <t>Cabo cobe nú 16,0 mm² - malha aterramento</t>
  </si>
  <si>
    <t>mês</t>
  </si>
  <si>
    <t>Preço Total - R$ (Sem BDI)</t>
  </si>
  <si>
    <t>Preço Total - R$ (Com BDI)</t>
  </si>
  <si>
    <t>Preço Unitário - R$</t>
  </si>
  <si>
    <t xml:space="preserve">MAT/EQUIP </t>
  </si>
  <si>
    <t>Total pacial ítem 06</t>
  </si>
  <si>
    <t xml:space="preserve">Quadro Geral de Proteção tipo Armário c/ barramento 500A/380V </t>
  </si>
  <si>
    <t>Caixas de passagem alvenaria 800x800x800</t>
  </si>
  <si>
    <t>SERVIÇOS PRELIMINARES</t>
  </si>
  <si>
    <t>Investigação solo - sondagem SPT</t>
  </si>
  <si>
    <t>Prazo (dias)</t>
  </si>
  <si>
    <t>CRONOGRAMA FÍSICO FINANCEIRO</t>
  </si>
  <si>
    <t>Total</t>
  </si>
  <si>
    <t xml:space="preserve">  </t>
  </si>
  <si>
    <t>Descrição do ítem</t>
  </si>
  <si>
    <t>Ítem</t>
  </si>
  <si>
    <t>As built e manual técnico de operação e manutenção</t>
  </si>
  <si>
    <t xml:space="preserve">Unidade </t>
  </si>
  <si>
    <t xml:space="preserve">Limpeza e preparação terreno </t>
  </si>
  <si>
    <t>Engenheiro Senior - coordenação e gerenciamento da obra</t>
  </si>
  <si>
    <t>TOTAL GERAL</t>
  </si>
  <si>
    <r>
      <t>CUSTOS INDIRETOS</t>
    </r>
    <r>
      <rPr>
        <sz val="12"/>
        <color theme="1"/>
        <rFont val="Calibri"/>
        <family val="2"/>
        <scheme val="minor"/>
      </rPr>
      <t xml:space="preserve">  </t>
    </r>
  </si>
  <si>
    <t>Dispositivo Proteção contra surto atmosférico (DPS) Tipo 2, 275V</t>
  </si>
  <si>
    <t>Cabo solar 6,00 mm² 1,0 kV 120°C uso ao tempo proteção UV cor VM</t>
  </si>
  <si>
    <t>Abertura e fechamento de vala para eletrodutos PEAD</t>
  </si>
  <si>
    <t>Planilha de Quantitativos e Custos - Cronograma Físico-Financeiro</t>
  </si>
  <si>
    <t>BDI Mão-De-Obra = 27,75%</t>
  </si>
  <si>
    <t>BDI Materiais/Equipamentos = 16,70 %</t>
  </si>
  <si>
    <t xml:space="preserve">Projeto elétrico para aprovação CEEE D </t>
  </si>
  <si>
    <t xml:space="preserve">Topografia - locação da obra </t>
  </si>
  <si>
    <t>Disjuntor tripolar caixa moldada 3x400A - Icc 50 kA/380V</t>
  </si>
  <si>
    <t>Disjuntor tripolar caixa moldada 3x60A - Icc 50 kA/380V</t>
  </si>
  <si>
    <t>Eletroduto aço galvanizado tipo pesado d=100mm barra 3,0m</t>
  </si>
  <si>
    <t xml:space="preserve">Cabo flexível 1x185,0 mm² 0,6/1,0 kV EPR/XLPE 90°C </t>
  </si>
  <si>
    <t xml:space="preserve">Telha trapezoidal galvanizada T25/1020 e=0,5mm </t>
  </si>
  <si>
    <t>Cabo flexível 1x10,0 mm² 0,6/1,0 kV EPR 90°C</t>
  </si>
  <si>
    <t xml:space="preserve">Cabo flexível 1x16,0 mm² 0,6/1,0 kV EPR 90°C </t>
  </si>
  <si>
    <t>Relatório As Built e manual técnico de operação e manutenção</t>
  </si>
  <si>
    <r>
      <t>Potência Nominal = 198,00 kW</t>
    </r>
    <r>
      <rPr>
        <b/>
        <sz val="14"/>
        <color theme="1"/>
        <rFont val="Calibri"/>
        <family val="2"/>
        <scheme val="minor"/>
      </rPr>
      <t>pico</t>
    </r>
  </si>
  <si>
    <t>Bases/Fundações - preparo, escavação e lançamento concreto</t>
  </si>
  <si>
    <t xml:space="preserve">Estrutura Garagem Solar em aço zincado - 600 módulos 72 Cel </t>
  </si>
  <si>
    <t>ITEM</t>
  </si>
  <si>
    <t>DESCRIÇÃO ITEM</t>
  </si>
  <si>
    <t>Subtotal Item 1</t>
  </si>
  <si>
    <t>Quadro Geral de Proteção c/ barramento 500A/380V - uso externo</t>
  </si>
  <si>
    <t>Subtotal Item 2</t>
  </si>
  <si>
    <t>Subtotal Item 03</t>
  </si>
  <si>
    <t>Subtotal Item 04</t>
  </si>
  <si>
    <t>Subtotal Item 05</t>
  </si>
  <si>
    <t>Subtotal Item 06</t>
  </si>
  <si>
    <t>Cabo unipolar 1#185,0 mm² EPR/XLPE 90°C</t>
  </si>
  <si>
    <t>Conectores terminais alumínio liga 6063 ou similar</t>
  </si>
  <si>
    <t xml:space="preserve">Parafuso aço inoxidável M8 60mm </t>
  </si>
  <si>
    <t>Topografia - locação da obra</t>
  </si>
  <si>
    <t>Cabo solar 6,00 mm² 1,8 kVDC HEPR vermelho</t>
  </si>
  <si>
    <t>Cabo solar 6,00 mm² 1,8 kVDC HEPR cor preta</t>
  </si>
  <si>
    <t>Cabo unipolar 1#10,0 mm² EPR 0,6/1,0 kV</t>
  </si>
  <si>
    <t>Cabo unipolar 1#16,0 mm² EPR 0,6/1,0 kV</t>
  </si>
  <si>
    <t>Cabo cobre nú 16,0 mm² p/ malha aterramento</t>
  </si>
  <si>
    <t>MÊS</t>
  </si>
  <si>
    <t>PÇ</t>
  </si>
  <si>
    <t>COORDENAÇÃO DE OBRA - Engenheiro Eletricista - 8h/dia</t>
  </si>
  <si>
    <t>Comissionamento, testes e energização</t>
  </si>
  <si>
    <t>Eletrocentro - alvenaria</t>
  </si>
  <si>
    <t>Central Geradora Fotovoltaica - Conjunto Garagem Solar</t>
  </si>
  <si>
    <t>Data base: Abril/2017</t>
  </si>
  <si>
    <t>Composição do BDI</t>
  </si>
  <si>
    <t>Materiais/Equipamentos</t>
  </si>
  <si>
    <t>Percentual - %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</si>
  <si>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</si>
  <si>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</si>
  <si>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</si>
  <si>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</si>
  <si>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</si>
  <si>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</si>
  <si>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</si>
  <si>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</si>
  <si>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</si>
  <si>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</si>
  <si>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Administração Central (AC)</t>
  </si>
  <si>
    <t>Seguros Garantias e Riscos (SGR)</t>
  </si>
  <si>
    <t>2.2.1</t>
  </si>
  <si>
    <t>2.2.2</t>
  </si>
  <si>
    <t>Garantias</t>
  </si>
  <si>
    <t>Riscos</t>
  </si>
  <si>
    <t>Lucro (L)</t>
  </si>
  <si>
    <t>Despesas Financeiras (DF)</t>
  </si>
  <si>
    <t>Tributos (T)</t>
  </si>
  <si>
    <t>CPRB</t>
  </si>
  <si>
    <t>COFINS</t>
  </si>
  <si>
    <t>PIS</t>
  </si>
  <si>
    <t>ISS</t>
  </si>
  <si>
    <t>2.5.1</t>
  </si>
  <si>
    <t>2.5.2</t>
  </si>
  <si>
    <t>2.5.3</t>
  </si>
  <si>
    <t>2.5.4</t>
  </si>
  <si>
    <t>BDI</t>
  </si>
  <si>
    <t>Taxa de Seguro (S)</t>
  </si>
  <si>
    <t xml:space="preserve">Taxa Risco (R) </t>
  </si>
  <si>
    <t>Taxa de Garantia (G)</t>
  </si>
  <si>
    <t>1.6</t>
  </si>
  <si>
    <t>1.7</t>
  </si>
  <si>
    <t>1.7.1</t>
  </si>
  <si>
    <t>1.7.2</t>
  </si>
  <si>
    <t>1.7.3</t>
  </si>
  <si>
    <t>1.8</t>
  </si>
  <si>
    <t>Mão-de-Obra/Serviços</t>
  </si>
  <si>
    <t>Total parcial item 04</t>
  </si>
  <si>
    <t>Total parcial item 05</t>
  </si>
  <si>
    <t>BDI - %</t>
  </si>
  <si>
    <t>Central Geradora Fotovoltaica - Conjunto Garagem Solar  ------  Potência Nominal = 198,00 kWpico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</si>
</sst>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0" xfId="0" applyFill="1" applyBorder="1"/>
    <xf numFmtId="0" fontId="4" fillId="0" borderId="0" xfId="0" applyFont="1" applyBorder="1" applyAlignment="1"/>
    <xf numFmtId="43" fontId="0" fillId="0" borderId="0" xfId="0" applyNumberFormat="1" applyFill="1" applyBorder="1" applyAlignment="1">
      <alignment horizontal="center"/>
    </xf>
    <xf numFmtId="165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4" fillId="0" borderId="10" xfId="0" applyFont="1" applyBorder="1" applyAlignment="1"/>
    <xf numFmtId="0" fontId="0" fillId="0" borderId="2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4" fillId="0" borderId="2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5" fillId="0" borderId="0" xfId="0" applyFont="1"/>
    <xf numFmtId="165" fontId="5" fillId="0" borderId="1" xfId="1" applyFont="1" applyBorder="1"/>
    <xf numFmtId="165" fontId="4" fillId="0" borderId="1" xfId="1" applyFont="1" applyBorder="1"/>
    <xf numFmtId="165" fontId="5" fillId="0" borderId="1" xfId="0" applyNumberFormat="1" applyFont="1" applyBorder="1"/>
    <xf numFmtId="0" fontId="5" fillId="0" borderId="4" xfId="0" applyFont="1" applyBorder="1" applyAlignment="1">
      <alignment horizontal="center"/>
    </xf>
    <xf numFmtId="165" fontId="5" fillId="0" borderId="4" xfId="1" applyFont="1" applyBorder="1"/>
    <xf numFmtId="0" fontId="5" fillId="0" borderId="4" xfId="0" applyFont="1" applyBorder="1"/>
    <xf numFmtId="0" fontId="5" fillId="0" borderId="26" xfId="0" applyFont="1" applyBorder="1"/>
    <xf numFmtId="43" fontId="5" fillId="0" borderId="1" xfId="0" applyNumberFormat="1" applyFont="1" applyBorder="1" applyAlignment="1">
      <alignment horizontal="center"/>
    </xf>
    <xf numFmtId="43" fontId="5" fillId="0" borderId="21" xfId="0" applyNumberFormat="1" applyFont="1" applyFill="1" applyBorder="1" applyAlignment="1">
      <alignment horizontal="center"/>
    </xf>
    <xf numFmtId="0" fontId="5" fillId="0" borderId="21" xfId="0" applyFont="1" applyBorder="1"/>
    <xf numFmtId="43" fontId="5" fillId="0" borderId="21" xfId="0" applyNumberFormat="1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165" fontId="5" fillId="0" borderId="12" xfId="0" applyNumberFormat="1" applyFont="1" applyBorder="1"/>
    <xf numFmtId="165" fontId="5" fillId="0" borderId="4" xfId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43" fontId="5" fillId="0" borderId="4" xfId="0" applyNumberFormat="1" applyFont="1" applyBorder="1" applyAlignment="1">
      <alignment horizontal="center"/>
    </xf>
    <xf numFmtId="43" fontId="5" fillId="0" borderId="26" xfId="0" applyNumberFormat="1" applyFont="1" applyFill="1" applyBorder="1" applyAlignment="1">
      <alignment horizontal="center"/>
    </xf>
    <xf numFmtId="165" fontId="5" fillId="0" borderId="1" xfId="1" applyFont="1" applyBorder="1" applyAlignment="1">
      <alignment horizontal="center"/>
    </xf>
    <xf numFmtId="165" fontId="5" fillId="0" borderId="12" xfId="1" applyFont="1" applyBorder="1"/>
    <xf numFmtId="165" fontId="0" fillId="0" borderId="0" xfId="1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30" xfId="0" applyNumberFormat="1" applyFont="1" applyFill="1" applyBorder="1" applyAlignment="1">
      <alignment horizontal="center"/>
    </xf>
    <xf numFmtId="165" fontId="5" fillId="0" borderId="12" xfId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4" borderId="34" xfId="0" applyFont="1" applyFill="1" applyBorder="1" applyAlignment="1">
      <alignment horizontal="center"/>
    </xf>
    <xf numFmtId="165" fontId="5" fillId="4" borderId="35" xfId="1" applyFont="1" applyFill="1" applyBorder="1"/>
    <xf numFmtId="165" fontId="5" fillId="4" borderId="35" xfId="0" applyNumberFormat="1" applyFont="1" applyFill="1" applyBorder="1"/>
    <xf numFmtId="43" fontId="5" fillId="4" borderId="35" xfId="0" applyNumberFormat="1" applyFont="1" applyFill="1" applyBorder="1"/>
    <xf numFmtId="43" fontId="5" fillId="4" borderId="36" xfId="0" applyNumberFormat="1" applyFont="1" applyFill="1" applyBorder="1"/>
    <xf numFmtId="43" fontId="5" fillId="4" borderId="35" xfId="0" applyNumberFormat="1" applyFont="1" applyFill="1" applyBorder="1" applyAlignment="1">
      <alignment horizontal="center"/>
    </xf>
    <xf numFmtId="43" fontId="5" fillId="4" borderId="3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4" borderId="34" xfId="0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9" fontId="5" fillId="0" borderId="12" xfId="2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5" fontId="5" fillId="0" borderId="37" xfId="1" applyFont="1" applyBorder="1" applyAlignment="1">
      <alignment horizontal="center"/>
    </xf>
    <xf numFmtId="9" fontId="5" fillId="4" borderId="15" xfId="2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9" fontId="5" fillId="4" borderId="42" xfId="2" applyFont="1" applyFill="1" applyBorder="1" applyAlignment="1">
      <alignment horizontal="center"/>
    </xf>
    <xf numFmtId="43" fontId="5" fillId="4" borderId="28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165" fontId="5" fillId="4" borderId="43" xfId="1" applyFont="1" applyFill="1" applyBorder="1" applyAlignment="1">
      <alignment horizontal="center"/>
    </xf>
    <xf numFmtId="9" fontId="5" fillId="0" borderId="44" xfId="2" applyFont="1" applyBorder="1" applyAlignment="1">
      <alignment horizontal="center"/>
    </xf>
    <xf numFmtId="165" fontId="4" fillId="0" borderId="44" xfId="1" applyFont="1" applyBorder="1" applyAlignment="1">
      <alignment horizontal="center"/>
    </xf>
    <xf numFmtId="165" fontId="5" fillId="0" borderId="45" xfId="1" applyFont="1" applyBorder="1" applyAlignment="1">
      <alignment horizontal="center"/>
    </xf>
    <xf numFmtId="165" fontId="4" fillId="0" borderId="45" xfId="1" applyFont="1" applyBorder="1" applyAlignment="1">
      <alignment horizontal="center"/>
    </xf>
    <xf numFmtId="165" fontId="4" fillId="0" borderId="46" xfId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4" fontId="5" fillId="0" borderId="4" xfId="3" applyFont="1" applyBorder="1" applyAlignment="1">
      <alignment horizontal="center"/>
    </xf>
    <xf numFmtId="9" fontId="5" fillId="4" borderId="9" xfId="2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165" fontId="5" fillId="4" borderId="28" xfId="1" applyFont="1" applyFill="1" applyBorder="1" applyAlignment="1">
      <alignment horizontal="center"/>
    </xf>
    <xf numFmtId="165" fontId="5" fillId="4" borderId="5" xfId="1" applyFont="1" applyFill="1" applyBorder="1" applyAlignment="1">
      <alignment horizontal="center"/>
    </xf>
    <xf numFmtId="0" fontId="5" fillId="0" borderId="37" xfId="0" applyFont="1" applyBorder="1"/>
    <xf numFmtId="43" fontId="5" fillId="0" borderId="37" xfId="0" applyNumberFormat="1" applyFont="1" applyBorder="1" applyAlignment="1">
      <alignment horizontal="center"/>
    </xf>
    <xf numFmtId="0" fontId="5" fillId="4" borderId="15" xfId="0" applyFont="1" applyFill="1" applyBorder="1"/>
    <xf numFmtId="9" fontId="5" fillId="4" borderId="9" xfId="1" applyNumberFormat="1" applyFont="1" applyFill="1" applyBorder="1" applyAlignment="1">
      <alignment horizontal="center"/>
    </xf>
    <xf numFmtId="0" fontId="4" fillId="4" borderId="28" xfId="0" applyFont="1" applyFill="1" applyBorder="1"/>
    <xf numFmtId="0" fontId="0" fillId="0" borderId="49" xfId="0" applyBorder="1" applyAlignment="1">
      <alignment horizontal="center"/>
    </xf>
    <xf numFmtId="165" fontId="4" fillId="0" borderId="44" xfId="1" applyFont="1" applyBorder="1"/>
    <xf numFmtId="165" fontId="4" fillId="0" borderId="45" xfId="1" applyFont="1" applyBorder="1"/>
    <xf numFmtId="0" fontId="2" fillId="0" borderId="12" xfId="0" applyFont="1" applyBorder="1" applyAlignment="1">
      <alignment horizontal="center"/>
    </xf>
    <xf numFmtId="165" fontId="4" fillId="0" borderId="46" xfId="1" applyFont="1" applyBorder="1"/>
    <xf numFmtId="165" fontId="5" fillId="4" borderId="28" xfId="1" applyFont="1" applyFill="1" applyBorder="1"/>
    <xf numFmtId="165" fontId="5" fillId="4" borderId="5" xfId="1" applyFont="1" applyFill="1" applyBorder="1"/>
    <xf numFmtId="43" fontId="5" fillId="0" borderId="4" xfId="0" applyNumberFormat="1" applyFont="1" applyBorder="1"/>
    <xf numFmtId="43" fontId="5" fillId="0" borderId="37" xfId="0" applyNumberFormat="1" applyFont="1" applyBorder="1"/>
    <xf numFmtId="0" fontId="4" fillId="0" borderId="37" xfId="0" applyFont="1" applyBorder="1" applyAlignment="1">
      <alignment horizontal="center"/>
    </xf>
    <xf numFmtId="9" fontId="4" fillId="4" borderId="15" xfId="2" applyFont="1" applyFill="1" applyBorder="1" applyAlignment="1">
      <alignment horizontal="center"/>
    </xf>
    <xf numFmtId="9" fontId="4" fillId="4" borderId="8" xfId="2" applyFont="1" applyFill="1" applyBorder="1" applyAlignment="1">
      <alignment horizontal="center"/>
    </xf>
    <xf numFmtId="9" fontId="4" fillId="4" borderId="42" xfId="2" applyFont="1" applyFill="1" applyBorder="1" applyAlignment="1">
      <alignment horizontal="center"/>
    </xf>
    <xf numFmtId="165" fontId="4" fillId="4" borderId="28" xfId="1" applyFont="1" applyFill="1" applyBorder="1" applyAlignment="1"/>
    <xf numFmtId="165" fontId="4" fillId="4" borderId="6" xfId="1" applyFont="1" applyFill="1" applyBorder="1" applyAlignment="1"/>
    <xf numFmtId="165" fontId="4" fillId="4" borderId="28" xfId="1" applyFont="1" applyFill="1" applyBorder="1"/>
    <xf numFmtId="165" fontId="4" fillId="4" borderId="43" xfId="1" applyFont="1" applyFill="1" applyBorder="1"/>
    <xf numFmtId="0" fontId="0" fillId="0" borderId="12" xfId="0" applyBorder="1"/>
    <xf numFmtId="43" fontId="4" fillId="4" borderId="28" xfId="0" applyNumberFormat="1" applyFont="1" applyFill="1" applyBorder="1"/>
    <xf numFmtId="0" fontId="0" fillId="0" borderId="50" xfId="0" applyBorder="1"/>
    <xf numFmtId="0" fontId="0" fillId="0" borderId="49" xfId="0" applyBorder="1"/>
    <xf numFmtId="0" fontId="5" fillId="4" borderId="28" xfId="0" applyFont="1" applyFill="1" applyBorder="1"/>
    <xf numFmtId="0" fontId="0" fillId="0" borderId="44" xfId="0" applyBorder="1"/>
    <xf numFmtId="0" fontId="0" fillId="0" borderId="45" xfId="0" applyBorder="1"/>
    <xf numFmtId="43" fontId="4" fillId="4" borderId="28" xfId="0" applyNumberFormat="1" applyFont="1" applyFill="1" applyBorder="1" applyAlignment="1">
      <alignment horizontal="center"/>
    </xf>
    <xf numFmtId="43" fontId="5" fillId="4" borderId="28" xfId="0" applyNumberFormat="1" applyFont="1" applyFill="1" applyBorder="1"/>
    <xf numFmtId="9" fontId="4" fillId="4" borderId="51" xfId="2" applyFont="1" applyFill="1" applyBorder="1" applyAlignment="1">
      <alignment horizontal="center"/>
    </xf>
    <xf numFmtId="9" fontId="5" fillId="4" borderId="15" xfId="0" applyNumberFormat="1" applyFont="1" applyFill="1" applyBorder="1" applyAlignment="1">
      <alignment horizontal="center"/>
    </xf>
    <xf numFmtId="43" fontId="4" fillId="4" borderId="28" xfId="2" applyNumberFormat="1" applyFont="1" applyFill="1" applyBorder="1" applyAlignment="1"/>
    <xf numFmtId="0" fontId="5" fillId="0" borderId="3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5" xfId="0" applyFont="1" applyBorder="1"/>
    <xf numFmtId="43" fontId="5" fillId="0" borderId="46" xfId="0" applyNumberFormat="1" applyFont="1" applyBorder="1" applyAlignment="1">
      <alignment horizontal="center"/>
    </xf>
    <xf numFmtId="0" fontId="5" fillId="0" borderId="41" xfId="0" applyFont="1" applyBorder="1"/>
    <xf numFmtId="43" fontId="5" fillId="0" borderId="44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4" fillId="0" borderId="16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17" xfId="0" applyFont="1" applyBorder="1" applyAlignment="1"/>
    <xf numFmtId="10" fontId="0" fillId="0" borderId="21" xfId="2" applyNumberFormat="1" applyFont="1" applyBorder="1" applyAlignment="1">
      <alignment horizontal="center"/>
    </xf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10" fontId="2" fillId="0" borderId="25" xfId="2" applyNumberFormat="1" applyFont="1" applyBorder="1" applyAlignment="1">
      <alignment horizontal="center"/>
    </xf>
    <xf numFmtId="0" fontId="4" fillId="4" borderId="38" xfId="0" applyFont="1" applyFill="1" applyBorder="1" applyAlignment="1"/>
    <xf numFmtId="0" fontId="4" fillId="4" borderId="39" xfId="0" applyFont="1" applyFill="1" applyBorder="1" applyAlignment="1"/>
    <xf numFmtId="0" fontId="4" fillId="4" borderId="40" xfId="0" applyFont="1" applyFill="1" applyBorder="1" applyAlignment="1"/>
    <xf numFmtId="0" fontId="0" fillId="4" borderId="56" xfId="0" applyFill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9" fontId="4" fillId="0" borderId="4" xfId="2" applyFont="1" applyBorder="1" applyAlignment="1">
      <alignment horizontal="center"/>
    </xf>
    <xf numFmtId="165" fontId="4" fillId="0" borderId="4" xfId="1" applyFont="1" applyBorder="1"/>
    <xf numFmtId="165" fontId="4" fillId="4" borderId="36" xfId="0" applyNumberFormat="1" applyFont="1" applyFill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2" fontId="5" fillId="0" borderId="12" xfId="1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10" fontId="5" fillId="4" borderId="35" xfId="0" applyNumberFormat="1" applyFont="1" applyFill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165" fontId="5" fillId="0" borderId="37" xfId="0" applyNumberFormat="1" applyFont="1" applyBorder="1"/>
    <xf numFmtId="43" fontId="5" fillId="0" borderId="59" xfId="0" applyNumberFormat="1" applyFont="1" applyBorder="1"/>
    <xf numFmtId="10" fontId="5" fillId="0" borderId="37" xfId="0" applyNumberFormat="1" applyFont="1" applyBorder="1" applyAlignment="1">
      <alignment horizontal="center"/>
    </xf>
    <xf numFmtId="43" fontId="4" fillId="4" borderId="35" xfId="0" applyNumberFormat="1" applyFont="1" applyFill="1" applyBorder="1" applyAlignment="1"/>
    <xf numFmtId="165" fontId="4" fillId="4" borderId="35" xfId="0" applyNumberFormat="1" applyFont="1" applyFill="1" applyBorder="1"/>
    <xf numFmtId="0" fontId="6" fillId="0" borderId="0" xfId="0" applyFont="1" applyBorder="1" applyAlignment="1"/>
    <xf numFmtId="0" fontId="5" fillId="0" borderId="0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65" fontId="4" fillId="0" borderId="12" xfId="1" applyFont="1" applyBorder="1"/>
    <xf numFmtId="165" fontId="4" fillId="0" borderId="37" xfId="1" applyFont="1" applyBorder="1"/>
    <xf numFmtId="10" fontId="4" fillId="4" borderId="35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165" fontId="5" fillId="5" borderId="0" xfId="1" applyFont="1" applyFill="1" applyBorder="1" applyAlignment="1">
      <alignment horizontal="center"/>
    </xf>
    <xf numFmtId="0" fontId="0" fillId="0" borderId="37" xfId="0" applyBorder="1"/>
    <xf numFmtId="9" fontId="5" fillId="0" borderId="49" xfId="0" applyNumberFormat="1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37" xfId="0" applyFont="1" applyBorder="1" applyAlignment="1"/>
    <xf numFmtId="43" fontId="5" fillId="0" borderId="37" xfId="0" applyNumberFormat="1" applyFont="1" applyBorder="1" applyAlignment="1">
      <alignment horizontal="left"/>
    </xf>
    <xf numFmtId="43" fontId="5" fillId="0" borderId="0" xfId="0" applyNumberFormat="1" applyFont="1" applyBorder="1" applyAlignment="1">
      <alignment horizontal="left"/>
    </xf>
    <xf numFmtId="43" fontId="5" fillId="0" borderId="46" xfId="0" applyNumberFormat="1" applyFont="1" applyBorder="1" applyAlignment="1">
      <alignment horizontal="left"/>
    </xf>
    <xf numFmtId="43" fontId="4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0" fontId="4" fillId="5" borderId="29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12" xfId="0" applyFont="1" applyFill="1" applyBorder="1"/>
    <xf numFmtId="0" fontId="4" fillId="5" borderId="41" xfId="0" applyFont="1" applyFill="1" applyBorder="1"/>
    <xf numFmtId="0" fontId="4" fillId="5" borderId="1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9" fillId="5" borderId="0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4" fillId="4" borderId="5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4" xfId="0" applyFont="1" applyFill="1" applyBorder="1"/>
    <xf numFmtId="0" fontId="5" fillId="0" borderId="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4" borderId="5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/>
    </xf>
    <xf numFmtId="0" fontId="2" fillId="4" borderId="60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" fontId="5" fillId="0" borderId="41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31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5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zoomScale="73" zoomScaleNormal="73" workbookViewId="0">
      <selection activeCell="P4" sqref="P4"/>
    </sheetView>
  </sheetViews>
  <sheetFormatPr defaultRowHeight="15" x14ac:dyDescent="0.25"/>
  <cols>
    <col min="1" max="1" width="5.7109375" customWidth="1"/>
    <col min="2" max="2" width="71.7109375" customWidth="1"/>
    <col min="3" max="3" width="11.140625" customWidth="1"/>
    <col min="4" max="4" width="11.42578125" customWidth="1"/>
    <col min="5" max="5" width="13.42578125" customWidth="1"/>
    <col min="6" max="6" width="13.7109375" customWidth="1"/>
    <col min="7" max="7" width="15" customWidth="1"/>
    <col min="8" max="8" width="14.140625" customWidth="1"/>
    <col min="9" max="9" width="16.28515625" customWidth="1"/>
    <col min="10" max="10" width="13.28515625" customWidth="1"/>
    <col min="11" max="11" width="14.85546875" customWidth="1"/>
    <col min="12" max="12" width="16.5703125" customWidth="1"/>
    <col min="13" max="13" width="15.7109375" customWidth="1"/>
    <col min="14" max="15" width="15.140625" customWidth="1"/>
  </cols>
  <sheetData>
    <row r="1" spans="1:15" ht="35.1" customHeight="1" x14ac:dyDescent="0.35">
      <c r="A1" s="264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6"/>
    </row>
    <row r="2" spans="1:15" ht="35.1" customHeight="1" x14ac:dyDescent="0.35">
      <c r="A2" s="261" t="s">
        <v>105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</row>
    <row r="3" spans="1:15" ht="35.1" customHeight="1" x14ac:dyDescent="0.35">
      <c r="A3" s="261" t="s">
        <v>79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</row>
    <row r="4" spans="1:15" ht="35.1" customHeight="1" thickBot="1" x14ac:dyDescent="0.4">
      <c r="A4" s="282" t="s">
        <v>66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4"/>
    </row>
    <row r="5" spans="1:15" ht="24.95" customHeight="1" thickBot="1" x14ac:dyDescent="0.3">
      <c r="A5" s="9" t="s">
        <v>106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30" customHeight="1" x14ac:dyDescent="0.25">
      <c r="A6" s="267" t="s">
        <v>56</v>
      </c>
      <c r="B6" s="280" t="s">
        <v>55</v>
      </c>
      <c r="C6" s="280" t="s">
        <v>1</v>
      </c>
      <c r="D6" s="280" t="s">
        <v>2</v>
      </c>
      <c r="E6" s="272" t="s">
        <v>44</v>
      </c>
      <c r="F6" s="275"/>
      <c r="G6" s="272" t="s">
        <v>42</v>
      </c>
      <c r="H6" s="273"/>
      <c r="I6" s="275"/>
      <c r="J6" s="272" t="s">
        <v>150</v>
      </c>
      <c r="K6" s="275"/>
      <c r="L6" s="272" t="s">
        <v>43</v>
      </c>
      <c r="M6" s="273"/>
      <c r="N6" s="274"/>
    </row>
    <row r="7" spans="1:15" ht="30" customHeight="1" thickBot="1" x14ac:dyDescent="0.3">
      <c r="A7" s="268"/>
      <c r="B7" s="281"/>
      <c r="C7" s="281"/>
      <c r="D7" s="281"/>
      <c r="E7" s="25" t="s">
        <v>16</v>
      </c>
      <c r="F7" s="25" t="s">
        <v>17</v>
      </c>
      <c r="G7" s="25" t="s">
        <v>16</v>
      </c>
      <c r="H7" s="25" t="s">
        <v>17</v>
      </c>
      <c r="I7" s="25" t="s">
        <v>18</v>
      </c>
      <c r="J7" s="133" t="s">
        <v>45</v>
      </c>
      <c r="K7" s="133" t="s">
        <v>17</v>
      </c>
      <c r="L7" s="25" t="s">
        <v>45</v>
      </c>
      <c r="M7" s="25" t="s">
        <v>17</v>
      </c>
      <c r="N7" s="26" t="s">
        <v>18</v>
      </c>
    </row>
    <row r="8" spans="1:15" ht="24.95" customHeight="1" x14ac:dyDescent="0.25">
      <c r="A8" s="12">
        <v>1</v>
      </c>
      <c r="B8" s="13" t="s">
        <v>49</v>
      </c>
      <c r="C8" s="32"/>
      <c r="D8" s="32"/>
      <c r="E8" s="45" t="s">
        <v>10</v>
      </c>
      <c r="F8" s="45"/>
      <c r="G8" s="46"/>
      <c r="H8" s="46"/>
      <c r="I8" s="46"/>
      <c r="J8" s="46"/>
      <c r="K8" s="46"/>
      <c r="L8" s="47" t="s">
        <v>10</v>
      </c>
      <c r="M8" s="47"/>
      <c r="N8" s="48"/>
    </row>
    <row r="9" spans="1:15" ht="20.100000000000001" customHeight="1" x14ac:dyDescent="0.25">
      <c r="A9" s="10"/>
      <c r="B9" s="65" t="s">
        <v>70</v>
      </c>
      <c r="C9" s="8" t="s">
        <v>9</v>
      </c>
      <c r="D9" s="8">
        <v>1500</v>
      </c>
      <c r="E9" s="49">
        <v>0</v>
      </c>
      <c r="F9" s="49">
        <v>2</v>
      </c>
      <c r="G9" s="36">
        <f>E9*D9</f>
        <v>0</v>
      </c>
      <c r="H9" s="36">
        <f>F9*D9</f>
        <v>3000</v>
      </c>
      <c r="I9" s="36">
        <f>SUM(G9:H9)</f>
        <v>3000</v>
      </c>
      <c r="J9" s="163">
        <f>BDI!$C$13</f>
        <v>0.16698239306984308</v>
      </c>
      <c r="K9" s="163">
        <f>BDI!$C$27</f>
        <v>0.277463005064716</v>
      </c>
      <c r="L9" s="36">
        <f>G9+G9*J9</f>
        <v>0</v>
      </c>
      <c r="M9" s="36">
        <f>H9+H9*K9</f>
        <v>3832.3890151941478</v>
      </c>
      <c r="N9" s="37">
        <f>L9+M9</f>
        <v>3832.3890151941478</v>
      </c>
    </row>
    <row r="10" spans="1:15" ht="20.100000000000001" customHeight="1" x14ac:dyDescent="0.25">
      <c r="A10" s="10"/>
      <c r="B10" s="22" t="s">
        <v>50</v>
      </c>
      <c r="C10" s="8" t="s">
        <v>7</v>
      </c>
      <c r="D10" s="8">
        <v>40</v>
      </c>
      <c r="E10" s="49">
        <v>0</v>
      </c>
      <c r="F10" s="49">
        <v>100</v>
      </c>
      <c r="G10" s="36">
        <f>E10*D10</f>
        <v>0</v>
      </c>
      <c r="H10" s="36">
        <f>F10*D10</f>
        <v>4000</v>
      </c>
      <c r="I10" s="36">
        <f>SUM(G10:H10)</f>
        <v>4000</v>
      </c>
      <c r="J10" s="163">
        <f>BDI!$C$13</f>
        <v>0.16698239306984308</v>
      </c>
      <c r="K10" s="163">
        <f>BDI!$C$27</f>
        <v>0.277463005064716</v>
      </c>
      <c r="L10" s="36">
        <f t="shared" ref="L10:L13" si="0">G10+G10*J10</f>
        <v>0</v>
      </c>
      <c r="M10" s="36">
        <f t="shared" ref="M10:M13" si="1">H10+H10*K10</f>
        <v>5109.8520202588643</v>
      </c>
      <c r="N10" s="37">
        <f>SUM(L10:M10)</f>
        <v>5109.8520202588643</v>
      </c>
    </row>
    <row r="11" spans="1:15" ht="20.100000000000001" customHeight="1" x14ac:dyDescent="0.25">
      <c r="A11" s="10"/>
      <c r="B11" s="22" t="s">
        <v>25</v>
      </c>
      <c r="C11" s="8" t="s">
        <v>9</v>
      </c>
      <c r="D11" s="8">
        <v>5</v>
      </c>
      <c r="E11" s="49">
        <v>200</v>
      </c>
      <c r="F11" s="49">
        <v>250</v>
      </c>
      <c r="G11" s="36">
        <f>E11*D11</f>
        <v>1000</v>
      </c>
      <c r="H11" s="36">
        <f>F11*D11</f>
        <v>1250</v>
      </c>
      <c r="I11" s="36">
        <f t="shared" ref="I11:I12" si="2">SUM(G11:H11)</f>
        <v>2250</v>
      </c>
      <c r="J11" s="163">
        <f>BDI!$C$13</f>
        <v>0.16698239306984308</v>
      </c>
      <c r="K11" s="163">
        <f>BDI!$C$27</f>
        <v>0.277463005064716</v>
      </c>
      <c r="L11" s="36">
        <f t="shared" si="0"/>
        <v>1166.9823930698431</v>
      </c>
      <c r="M11" s="36">
        <f t="shared" si="1"/>
        <v>1596.828756330895</v>
      </c>
      <c r="N11" s="37">
        <f>L11+M11</f>
        <v>2763.811149400738</v>
      </c>
    </row>
    <row r="12" spans="1:15" ht="20.100000000000001" customHeight="1" x14ac:dyDescent="0.25">
      <c r="A12" s="10"/>
      <c r="B12" s="22" t="s">
        <v>59</v>
      </c>
      <c r="C12" s="8" t="s">
        <v>9</v>
      </c>
      <c r="D12" s="8">
        <v>1500</v>
      </c>
      <c r="E12" s="49">
        <v>0</v>
      </c>
      <c r="F12" s="49">
        <v>7</v>
      </c>
      <c r="G12" s="36">
        <f>E12*D12</f>
        <v>0</v>
      </c>
      <c r="H12" s="36">
        <f>F12*D12</f>
        <v>10500</v>
      </c>
      <c r="I12" s="36">
        <f t="shared" si="2"/>
        <v>10500</v>
      </c>
      <c r="J12" s="163">
        <f>BDI!$C$13</f>
        <v>0.16698239306984308</v>
      </c>
      <c r="K12" s="163">
        <f>BDI!$C$27</f>
        <v>0.277463005064716</v>
      </c>
      <c r="L12" s="36">
        <f t="shared" si="0"/>
        <v>0</v>
      </c>
      <c r="M12" s="36">
        <f t="shared" si="1"/>
        <v>13413.361553179519</v>
      </c>
      <c r="N12" s="37">
        <f>L12+M12</f>
        <v>13413.361553179519</v>
      </c>
    </row>
    <row r="13" spans="1:15" ht="20.100000000000001" customHeight="1" thickBot="1" x14ac:dyDescent="0.3">
      <c r="A13" s="14"/>
      <c r="B13" s="52" t="s">
        <v>69</v>
      </c>
      <c r="C13" s="53" t="s">
        <v>33</v>
      </c>
      <c r="D13" s="67">
        <v>198</v>
      </c>
      <c r="E13" s="56">
        <v>5</v>
      </c>
      <c r="F13" s="56">
        <v>55</v>
      </c>
      <c r="G13" s="54">
        <f>E13*D13</f>
        <v>990</v>
      </c>
      <c r="H13" s="54">
        <f>F13*D13</f>
        <v>10890</v>
      </c>
      <c r="I13" s="54">
        <f>SUM(G13:H13)</f>
        <v>11880</v>
      </c>
      <c r="J13" s="165">
        <f>BDI!$C$13</f>
        <v>0.16698239306984308</v>
      </c>
      <c r="K13" s="165">
        <f>BDI!$C$27</f>
        <v>0.277463005064716</v>
      </c>
      <c r="L13" s="54">
        <f t="shared" si="0"/>
        <v>1155.3125691391447</v>
      </c>
      <c r="M13" s="54">
        <f t="shared" si="1"/>
        <v>13911.572125154757</v>
      </c>
      <c r="N13" s="55">
        <f>L13+M13</f>
        <v>15066.884694293902</v>
      </c>
    </row>
    <row r="14" spans="1:15" ht="30" customHeight="1" thickBot="1" x14ac:dyDescent="0.3">
      <c r="A14" s="154"/>
      <c r="B14" s="252" t="s">
        <v>21</v>
      </c>
      <c r="C14" s="253"/>
      <c r="D14" s="253"/>
      <c r="E14" s="253"/>
      <c r="F14" s="254"/>
      <c r="G14" s="63">
        <f>SUM(G8:G13)</f>
        <v>1990</v>
      </c>
      <c r="H14" s="63">
        <f>SUM(H8:H13)</f>
        <v>29640</v>
      </c>
      <c r="I14" s="63">
        <f>SUM(I8:I13)</f>
        <v>31630</v>
      </c>
      <c r="J14" s="167">
        <f>BDI!$C$13</f>
        <v>0.16698239306984308</v>
      </c>
      <c r="K14" s="167">
        <f>BDI!$C$27</f>
        <v>0.277463005064716</v>
      </c>
      <c r="L14" s="63">
        <f>SUM(L8:L13)</f>
        <v>2322.2949622089877</v>
      </c>
      <c r="M14" s="63">
        <f>SUM(M8:M13)</f>
        <v>37864.003470118179</v>
      </c>
      <c r="N14" s="64">
        <f>SUM(N8:N13)</f>
        <v>40186.298432327167</v>
      </c>
      <c r="O14" t="s">
        <v>10</v>
      </c>
    </row>
    <row r="15" spans="1:15" ht="20.100000000000001" customHeight="1" x14ac:dyDescent="0.25">
      <c r="A15" s="12"/>
      <c r="B15" s="57"/>
      <c r="C15" s="32"/>
      <c r="D15" s="32"/>
      <c r="E15" s="45"/>
      <c r="F15" s="45"/>
      <c r="G15" s="47"/>
      <c r="H15" s="47"/>
      <c r="I15" s="47"/>
      <c r="J15" s="47"/>
      <c r="K15" s="47"/>
      <c r="L15" s="47"/>
      <c r="M15" s="47"/>
      <c r="N15" s="48"/>
    </row>
    <row r="16" spans="1:15" ht="24.95" customHeight="1" x14ac:dyDescent="0.25">
      <c r="A16" s="11">
        <v>2</v>
      </c>
      <c r="B16" s="2" t="s">
        <v>15</v>
      </c>
      <c r="C16" s="23"/>
      <c r="D16" s="23"/>
      <c r="E16" s="29"/>
      <c r="F16" s="29"/>
      <c r="G16" s="29"/>
      <c r="H16" s="23"/>
      <c r="I16" s="23"/>
      <c r="J16" s="36"/>
      <c r="K16" s="23" t="s">
        <v>10</v>
      </c>
      <c r="L16" s="23"/>
      <c r="M16" s="23"/>
      <c r="N16" s="38"/>
    </row>
    <row r="17" spans="1:15" ht="20.100000000000001" customHeight="1" x14ac:dyDescent="0.25">
      <c r="A17" s="10"/>
      <c r="B17" s="23" t="s">
        <v>31</v>
      </c>
      <c r="C17" s="8" t="s">
        <v>6</v>
      </c>
      <c r="D17" s="8">
        <v>600</v>
      </c>
      <c r="E17" s="29">
        <v>560</v>
      </c>
      <c r="F17" s="29">
        <f>E17*0.1</f>
        <v>56</v>
      </c>
      <c r="G17" s="29">
        <f>D17*E17</f>
        <v>336000</v>
      </c>
      <c r="H17" s="29">
        <f t="shared" ref="H17:H24" si="3">F17*D17</f>
        <v>33600</v>
      </c>
      <c r="I17" s="31">
        <f>SUM(G17:H17)</f>
        <v>369600</v>
      </c>
      <c r="J17" s="163">
        <f>BDI!$C$13</f>
        <v>0.16698239306984308</v>
      </c>
      <c r="K17" s="163">
        <f>BDI!$C$27</f>
        <v>0.277463005064716</v>
      </c>
      <c r="L17" s="36">
        <f t="shared" ref="L17:L24" si="4">G17+G17*J17</f>
        <v>392106.08407146728</v>
      </c>
      <c r="M17" s="36">
        <f t="shared" ref="M17:M24" si="5">H17+H17*K17</f>
        <v>42922.756970174458</v>
      </c>
      <c r="N17" s="37">
        <f t="shared" ref="N17:N24" si="6">L17+M17</f>
        <v>435028.84104164172</v>
      </c>
    </row>
    <row r="18" spans="1:15" ht="20.100000000000001" customHeight="1" x14ac:dyDescent="0.25">
      <c r="A18" s="10"/>
      <c r="B18" s="23" t="s">
        <v>32</v>
      </c>
      <c r="C18" s="8" t="s">
        <v>6</v>
      </c>
      <c r="D18" s="8">
        <v>6</v>
      </c>
      <c r="E18" s="29">
        <v>21500</v>
      </c>
      <c r="F18" s="29">
        <v>1500</v>
      </c>
      <c r="G18" s="29">
        <f>D18*E18</f>
        <v>129000</v>
      </c>
      <c r="H18" s="29">
        <f t="shared" si="3"/>
        <v>9000</v>
      </c>
      <c r="I18" s="31">
        <f t="shared" ref="I18:I24" si="7">SUM(G18:H18)</f>
        <v>138000</v>
      </c>
      <c r="J18" s="163">
        <f>BDI!$C$13</f>
        <v>0.16698239306984308</v>
      </c>
      <c r="K18" s="163">
        <f>BDI!$C$27</f>
        <v>0.277463005064716</v>
      </c>
      <c r="L18" s="36">
        <f t="shared" si="4"/>
        <v>150540.72870600974</v>
      </c>
      <c r="M18" s="36">
        <f t="shared" si="5"/>
        <v>11497.167045582444</v>
      </c>
      <c r="N18" s="37">
        <f t="shared" si="6"/>
        <v>162037.89575159218</v>
      </c>
    </row>
    <row r="19" spans="1:15" ht="20.100000000000001" customHeight="1" x14ac:dyDescent="0.25">
      <c r="A19" s="10"/>
      <c r="B19" s="23" t="s">
        <v>47</v>
      </c>
      <c r="C19" s="8" t="s">
        <v>6</v>
      </c>
      <c r="D19" s="8">
        <v>1</v>
      </c>
      <c r="E19" s="29">
        <v>7500</v>
      </c>
      <c r="F19" s="29">
        <f>E19*0.2</f>
        <v>1500</v>
      </c>
      <c r="G19" s="29">
        <f>E19*D19</f>
        <v>7500</v>
      </c>
      <c r="H19" s="29">
        <f t="shared" si="3"/>
        <v>1500</v>
      </c>
      <c r="I19" s="31">
        <f t="shared" si="7"/>
        <v>9000</v>
      </c>
      <c r="J19" s="163">
        <f>BDI!$C$13</f>
        <v>0.16698239306984308</v>
      </c>
      <c r="K19" s="163">
        <f>BDI!$C$27</f>
        <v>0.277463005064716</v>
      </c>
      <c r="L19" s="36">
        <f t="shared" si="4"/>
        <v>8752.3679480238225</v>
      </c>
      <c r="M19" s="36">
        <f t="shared" si="5"/>
        <v>1916.1945075970739</v>
      </c>
      <c r="N19" s="37">
        <f t="shared" si="6"/>
        <v>10668.562455620897</v>
      </c>
      <c r="O19" s="6"/>
    </row>
    <row r="20" spans="1:15" ht="20.100000000000001" customHeight="1" x14ac:dyDescent="0.25">
      <c r="A20" s="10"/>
      <c r="B20" s="23" t="s">
        <v>71</v>
      </c>
      <c r="C20" s="8" t="s">
        <v>6</v>
      </c>
      <c r="D20" s="8">
        <v>1</v>
      </c>
      <c r="E20" s="29">
        <v>2200</v>
      </c>
      <c r="F20" s="29">
        <f t="shared" ref="F20:F22" si="8">E20*0.2</f>
        <v>440</v>
      </c>
      <c r="G20" s="29">
        <f t="shared" ref="G20:G24" si="9">D20*E20</f>
        <v>2200</v>
      </c>
      <c r="H20" s="29">
        <f t="shared" si="3"/>
        <v>440</v>
      </c>
      <c r="I20" s="31">
        <f t="shared" si="7"/>
        <v>2640</v>
      </c>
      <c r="J20" s="163">
        <f>BDI!$C$13</f>
        <v>0.16698239306984308</v>
      </c>
      <c r="K20" s="163">
        <f>BDI!$C$27</f>
        <v>0.277463005064716</v>
      </c>
      <c r="L20" s="36">
        <f t="shared" si="4"/>
        <v>2567.3612647536547</v>
      </c>
      <c r="M20" s="36">
        <f t="shared" si="5"/>
        <v>562.08372222847504</v>
      </c>
      <c r="N20" s="37">
        <f t="shared" si="6"/>
        <v>3129.4449869821296</v>
      </c>
    </row>
    <row r="21" spans="1:15" ht="20.100000000000001" customHeight="1" x14ac:dyDescent="0.25">
      <c r="A21" s="10"/>
      <c r="B21" s="23" t="s">
        <v>72</v>
      </c>
      <c r="C21" s="8" t="s">
        <v>6</v>
      </c>
      <c r="D21" s="8">
        <v>6</v>
      </c>
      <c r="E21" s="29">
        <v>1223</v>
      </c>
      <c r="F21" s="29">
        <f t="shared" si="8"/>
        <v>244.60000000000002</v>
      </c>
      <c r="G21" s="29">
        <f t="shared" si="9"/>
        <v>7338</v>
      </c>
      <c r="H21" s="29">
        <f t="shared" si="3"/>
        <v>1467.6000000000001</v>
      </c>
      <c r="I21" s="31">
        <f t="shared" si="7"/>
        <v>8805.6</v>
      </c>
      <c r="J21" s="163">
        <f>BDI!$C$13</f>
        <v>0.16698239306984308</v>
      </c>
      <c r="K21" s="163">
        <f>BDI!$C$27</f>
        <v>0.277463005064716</v>
      </c>
      <c r="L21" s="36">
        <f t="shared" si="4"/>
        <v>8563.3168003465089</v>
      </c>
      <c r="M21" s="36">
        <f t="shared" si="5"/>
        <v>1874.8047062329774</v>
      </c>
      <c r="N21" s="37">
        <f t="shared" si="6"/>
        <v>10438.121506579486</v>
      </c>
    </row>
    <row r="22" spans="1:15" ht="20.100000000000001" customHeight="1" x14ac:dyDescent="0.25">
      <c r="A22" s="10"/>
      <c r="B22" s="23" t="s">
        <v>35</v>
      </c>
      <c r="C22" s="8" t="s">
        <v>6</v>
      </c>
      <c r="D22" s="8">
        <v>1</v>
      </c>
      <c r="E22" s="29">
        <v>3500</v>
      </c>
      <c r="F22" s="29">
        <f t="shared" si="8"/>
        <v>700</v>
      </c>
      <c r="G22" s="29">
        <f t="shared" si="9"/>
        <v>3500</v>
      </c>
      <c r="H22" s="29">
        <f t="shared" si="3"/>
        <v>700</v>
      </c>
      <c r="I22" s="31">
        <f t="shared" si="7"/>
        <v>4200</v>
      </c>
      <c r="J22" s="163">
        <f>BDI!$C$13</f>
        <v>0.16698239306984308</v>
      </c>
      <c r="K22" s="163">
        <f>BDI!$C$27</f>
        <v>0.277463005064716</v>
      </c>
      <c r="L22" s="36">
        <f t="shared" si="4"/>
        <v>4084.4383757444507</v>
      </c>
      <c r="M22" s="36">
        <f t="shared" si="5"/>
        <v>894.2241035453012</v>
      </c>
      <c r="N22" s="37">
        <f t="shared" si="6"/>
        <v>4978.6624792897519</v>
      </c>
    </row>
    <row r="23" spans="1:15" ht="20.100000000000001" customHeight="1" x14ac:dyDescent="0.25">
      <c r="A23" s="10"/>
      <c r="B23" s="23" t="s">
        <v>63</v>
      </c>
      <c r="C23" s="8" t="s">
        <v>6</v>
      </c>
      <c r="D23" s="8">
        <v>4</v>
      </c>
      <c r="E23" s="29">
        <v>200</v>
      </c>
      <c r="F23" s="29">
        <f>E23*0.1</f>
        <v>20</v>
      </c>
      <c r="G23" s="29">
        <f t="shared" si="9"/>
        <v>800</v>
      </c>
      <c r="H23" s="29">
        <f t="shared" si="3"/>
        <v>80</v>
      </c>
      <c r="I23" s="31">
        <f t="shared" si="7"/>
        <v>880</v>
      </c>
      <c r="J23" s="163">
        <f>BDI!$C$13</f>
        <v>0.16698239306984308</v>
      </c>
      <c r="K23" s="163">
        <f>BDI!$C$27</f>
        <v>0.277463005064716</v>
      </c>
      <c r="L23" s="36">
        <f t="shared" si="4"/>
        <v>933.58591445587444</v>
      </c>
      <c r="M23" s="36">
        <f t="shared" si="5"/>
        <v>102.19704040517728</v>
      </c>
      <c r="N23" s="37">
        <f t="shared" si="6"/>
        <v>1035.7829548610516</v>
      </c>
    </row>
    <row r="24" spans="1:15" ht="20.100000000000001" customHeight="1" thickBot="1" x14ac:dyDescent="0.3">
      <c r="A24" s="14"/>
      <c r="B24" s="52" t="s">
        <v>11</v>
      </c>
      <c r="C24" s="135" t="s">
        <v>34</v>
      </c>
      <c r="D24" s="135">
        <v>100</v>
      </c>
      <c r="E24" s="50">
        <v>6.8</v>
      </c>
      <c r="F24" s="50">
        <f>E24*1</f>
        <v>6.8</v>
      </c>
      <c r="G24" s="50">
        <f t="shared" si="9"/>
        <v>680</v>
      </c>
      <c r="H24" s="50">
        <f t="shared" si="3"/>
        <v>680</v>
      </c>
      <c r="I24" s="44">
        <f t="shared" si="7"/>
        <v>1360</v>
      </c>
      <c r="J24" s="165">
        <f>BDI!$C$13</f>
        <v>0.16698239306984308</v>
      </c>
      <c r="K24" s="165">
        <f>BDI!$C$27</f>
        <v>0.277463005064716</v>
      </c>
      <c r="L24" s="54">
        <f t="shared" si="4"/>
        <v>793.54802728749326</v>
      </c>
      <c r="M24" s="54">
        <f t="shared" si="5"/>
        <v>868.67484344400691</v>
      </c>
      <c r="N24" s="55">
        <f t="shared" si="6"/>
        <v>1662.2228707315003</v>
      </c>
    </row>
    <row r="25" spans="1:15" ht="30" customHeight="1" thickBot="1" x14ac:dyDescent="0.3">
      <c r="A25" s="154"/>
      <c r="B25" s="252" t="s">
        <v>22</v>
      </c>
      <c r="C25" s="253"/>
      <c r="D25" s="253"/>
      <c r="E25" s="253"/>
      <c r="F25" s="254"/>
      <c r="G25" s="59">
        <f t="shared" ref="G25:N25" si="10">SUM(G17:G24)</f>
        <v>487018</v>
      </c>
      <c r="H25" s="59">
        <f t="shared" si="10"/>
        <v>47467.6</v>
      </c>
      <c r="I25" s="60">
        <f t="shared" si="10"/>
        <v>534485.6</v>
      </c>
      <c r="J25" s="167">
        <f>BDI!$C$13</f>
        <v>0.16698239306984308</v>
      </c>
      <c r="K25" s="167">
        <f>BDI!$C$27</f>
        <v>0.277463005064716</v>
      </c>
      <c r="L25" s="61">
        <f t="shared" si="10"/>
        <v>568341.43110808881</v>
      </c>
      <c r="M25" s="61">
        <f t="shared" si="10"/>
        <v>60638.102939209915</v>
      </c>
      <c r="N25" s="62">
        <f t="shared" si="10"/>
        <v>628979.53404729872</v>
      </c>
    </row>
    <row r="26" spans="1:15" ht="20.100000000000001" customHeight="1" x14ac:dyDescent="0.25">
      <c r="A26" s="12"/>
      <c r="B26" s="16" t="s">
        <v>10</v>
      </c>
      <c r="C26" s="34"/>
      <c r="D26" s="34"/>
      <c r="E26" s="32"/>
      <c r="F26" s="32"/>
      <c r="G26" s="34"/>
      <c r="H26" s="34"/>
      <c r="I26" s="34"/>
      <c r="J26" s="34"/>
      <c r="K26" s="34"/>
      <c r="L26" s="34"/>
      <c r="M26" s="34"/>
      <c r="N26" s="35"/>
    </row>
    <row r="27" spans="1:15" ht="24.95" customHeight="1" x14ac:dyDescent="0.25">
      <c r="A27" s="11">
        <v>3</v>
      </c>
      <c r="B27" s="2" t="s">
        <v>37</v>
      </c>
      <c r="C27" s="24"/>
      <c r="D27" s="24"/>
      <c r="E27" s="8"/>
      <c r="F27" s="8"/>
      <c r="G27" s="23" t="s">
        <v>10</v>
      </c>
      <c r="H27" s="23"/>
      <c r="I27" s="23"/>
      <c r="J27" s="23"/>
      <c r="K27" s="23"/>
      <c r="L27" s="23"/>
      <c r="M27" s="23"/>
      <c r="N27" s="38"/>
    </row>
    <row r="28" spans="1:15" ht="20.100000000000001" customHeight="1" x14ac:dyDescent="0.25">
      <c r="A28" s="11"/>
      <c r="B28" s="23" t="s">
        <v>73</v>
      </c>
      <c r="C28" s="8" t="s">
        <v>12</v>
      </c>
      <c r="D28" s="8">
        <v>5</v>
      </c>
      <c r="E28" s="29">
        <v>175</v>
      </c>
      <c r="F28" s="29">
        <f>E28*2</f>
        <v>350</v>
      </c>
      <c r="G28" s="29">
        <f t="shared" ref="G28:G37" si="11">D28*E28</f>
        <v>875</v>
      </c>
      <c r="H28" s="29">
        <f t="shared" ref="H28:H37" si="12">F28*D28</f>
        <v>1750</v>
      </c>
      <c r="I28" s="31">
        <f t="shared" ref="I28:I37" si="13">SUM(G28:H28)</f>
        <v>2625</v>
      </c>
      <c r="J28" s="163">
        <f>BDI!$C$13</f>
        <v>0.16698239306984308</v>
      </c>
      <c r="K28" s="163">
        <f>BDI!$C$27</f>
        <v>0.277463005064716</v>
      </c>
      <c r="L28" s="36">
        <f t="shared" ref="L28:L37" si="14">G28+G28*J28</f>
        <v>1021.1095939361127</v>
      </c>
      <c r="M28" s="36">
        <f t="shared" ref="M28:M37" si="15">H28+H28*K28</f>
        <v>2235.5602588632528</v>
      </c>
      <c r="N28" s="37">
        <f t="shared" ref="N28:N37" si="16">L28+M28</f>
        <v>3256.6698527993653</v>
      </c>
      <c r="O28" s="6"/>
    </row>
    <row r="29" spans="1:15" ht="20.100000000000001" customHeight="1" x14ac:dyDescent="0.25">
      <c r="A29" s="11"/>
      <c r="B29" s="23" t="s">
        <v>5</v>
      </c>
      <c r="C29" s="8" t="s">
        <v>7</v>
      </c>
      <c r="D29" s="8">
        <v>200</v>
      </c>
      <c r="E29" s="29">
        <v>7.35</v>
      </c>
      <c r="F29" s="29">
        <f>E29*2</f>
        <v>14.7</v>
      </c>
      <c r="G29" s="29">
        <f t="shared" si="11"/>
        <v>1470</v>
      </c>
      <c r="H29" s="29">
        <f t="shared" si="12"/>
        <v>2940</v>
      </c>
      <c r="I29" s="31">
        <f t="shared" si="13"/>
        <v>4410</v>
      </c>
      <c r="J29" s="163">
        <f>BDI!$C$13</f>
        <v>0.16698239306984308</v>
      </c>
      <c r="K29" s="163">
        <f>BDI!$C$27</f>
        <v>0.277463005064716</v>
      </c>
      <c r="L29" s="36">
        <f t="shared" si="14"/>
        <v>1715.4641178126694</v>
      </c>
      <c r="M29" s="36">
        <f t="shared" si="15"/>
        <v>3755.7412348902649</v>
      </c>
      <c r="N29" s="37">
        <f t="shared" si="16"/>
        <v>5471.2053527029348</v>
      </c>
      <c r="O29" s="6"/>
    </row>
    <row r="30" spans="1:15" ht="20.100000000000001" customHeight="1" x14ac:dyDescent="0.25">
      <c r="A30" s="11"/>
      <c r="B30" s="23" t="s">
        <v>64</v>
      </c>
      <c r="C30" s="8" t="s">
        <v>7</v>
      </c>
      <c r="D30" s="8">
        <v>1800</v>
      </c>
      <c r="E30" s="29">
        <v>3.8</v>
      </c>
      <c r="F30" s="29">
        <v>1.5</v>
      </c>
      <c r="G30" s="29">
        <f t="shared" si="11"/>
        <v>6840</v>
      </c>
      <c r="H30" s="29">
        <f t="shared" si="12"/>
        <v>2700</v>
      </c>
      <c r="I30" s="31">
        <f t="shared" si="13"/>
        <v>9540</v>
      </c>
      <c r="J30" s="163">
        <f>BDI!$C$13</f>
        <v>0.16698239306984308</v>
      </c>
      <c r="K30" s="163">
        <f>BDI!$C$27</f>
        <v>0.277463005064716</v>
      </c>
      <c r="L30" s="36">
        <f t="shared" si="14"/>
        <v>7982.1595685977263</v>
      </c>
      <c r="M30" s="36">
        <f t="shared" si="15"/>
        <v>3449.1501136747333</v>
      </c>
      <c r="N30" s="37">
        <f t="shared" si="16"/>
        <v>11431.30968227246</v>
      </c>
      <c r="O30" s="6"/>
    </row>
    <row r="31" spans="1:15" ht="20.100000000000001" customHeight="1" x14ac:dyDescent="0.25">
      <c r="A31" s="11"/>
      <c r="B31" s="23" t="s">
        <v>39</v>
      </c>
      <c r="C31" s="8" t="s">
        <v>7</v>
      </c>
      <c r="D31" s="8">
        <v>1800</v>
      </c>
      <c r="E31" s="29">
        <v>3.8</v>
      </c>
      <c r="F31" s="29">
        <v>1.5</v>
      </c>
      <c r="G31" s="29">
        <f t="shared" si="11"/>
        <v>6840</v>
      </c>
      <c r="H31" s="29">
        <f t="shared" si="12"/>
        <v>2700</v>
      </c>
      <c r="I31" s="31">
        <f t="shared" si="13"/>
        <v>9540</v>
      </c>
      <c r="J31" s="163">
        <f>BDI!$C$13</f>
        <v>0.16698239306984308</v>
      </c>
      <c r="K31" s="163">
        <f>BDI!$C$27</f>
        <v>0.277463005064716</v>
      </c>
      <c r="L31" s="36">
        <f t="shared" si="14"/>
        <v>7982.1595685977263</v>
      </c>
      <c r="M31" s="36">
        <f t="shared" si="15"/>
        <v>3449.1501136747333</v>
      </c>
      <c r="N31" s="37">
        <f t="shared" si="16"/>
        <v>11431.30968227246</v>
      </c>
      <c r="O31" s="6"/>
    </row>
    <row r="32" spans="1:15" ht="20.100000000000001" customHeight="1" x14ac:dyDescent="0.25">
      <c r="A32" s="10"/>
      <c r="B32" s="23" t="s">
        <v>76</v>
      </c>
      <c r="C32" s="8" t="s">
        <v>7</v>
      </c>
      <c r="D32" s="8">
        <v>200</v>
      </c>
      <c r="E32" s="29">
        <v>5.8</v>
      </c>
      <c r="F32" s="29">
        <v>1.5</v>
      </c>
      <c r="G32" s="29">
        <f t="shared" si="11"/>
        <v>1160</v>
      </c>
      <c r="H32" s="29">
        <f t="shared" si="12"/>
        <v>300</v>
      </c>
      <c r="I32" s="31">
        <f t="shared" si="13"/>
        <v>1460</v>
      </c>
      <c r="J32" s="163">
        <f>BDI!$C$13</f>
        <v>0.16698239306984308</v>
      </c>
      <c r="K32" s="163">
        <f>BDI!$C$27</f>
        <v>0.277463005064716</v>
      </c>
      <c r="L32" s="36">
        <f t="shared" si="14"/>
        <v>1353.6995759610179</v>
      </c>
      <c r="M32" s="36">
        <f t="shared" si="15"/>
        <v>383.23890151941481</v>
      </c>
      <c r="N32" s="37">
        <f t="shared" si="16"/>
        <v>1736.9384774804328</v>
      </c>
      <c r="O32" s="6"/>
    </row>
    <row r="33" spans="1:15" ht="20.100000000000001" customHeight="1" x14ac:dyDescent="0.25">
      <c r="A33" s="10"/>
      <c r="B33" s="23" t="s">
        <v>77</v>
      </c>
      <c r="C33" s="8" t="s">
        <v>7</v>
      </c>
      <c r="D33" s="8">
        <v>180</v>
      </c>
      <c r="E33" s="29">
        <v>12.5</v>
      </c>
      <c r="F33" s="29">
        <v>1.5</v>
      </c>
      <c r="G33" s="29">
        <f t="shared" si="11"/>
        <v>2250</v>
      </c>
      <c r="H33" s="29">
        <f t="shared" si="12"/>
        <v>270</v>
      </c>
      <c r="I33" s="31">
        <f t="shared" si="13"/>
        <v>2520</v>
      </c>
      <c r="J33" s="163">
        <f>BDI!$C$13</f>
        <v>0.16698239306984308</v>
      </c>
      <c r="K33" s="163">
        <f>BDI!$C$27</f>
        <v>0.277463005064716</v>
      </c>
      <c r="L33" s="36">
        <f t="shared" si="14"/>
        <v>2625.7103844071471</v>
      </c>
      <c r="M33" s="36">
        <f t="shared" si="15"/>
        <v>344.91501136747331</v>
      </c>
      <c r="N33" s="37">
        <f t="shared" si="16"/>
        <v>2970.6253957746203</v>
      </c>
      <c r="O33" s="6"/>
    </row>
    <row r="34" spans="1:15" ht="20.100000000000001" customHeight="1" x14ac:dyDescent="0.25">
      <c r="A34" s="10"/>
      <c r="B34" s="23" t="s">
        <v>74</v>
      </c>
      <c r="C34" s="8" t="s">
        <v>7</v>
      </c>
      <c r="D34" s="8">
        <v>704</v>
      </c>
      <c r="E34" s="29">
        <v>84.34</v>
      </c>
      <c r="F34" s="29">
        <v>3</v>
      </c>
      <c r="G34" s="29">
        <f t="shared" si="11"/>
        <v>59375.360000000001</v>
      </c>
      <c r="H34" s="29">
        <f t="shared" si="12"/>
        <v>2112</v>
      </c>
      <c r="I34" s="31">
        <f t="shared" si="13"/>
        <v>61487.360000000001</v>
      </c>
      <c r="J34" s="163">
        <f>BDI!$C$13</f>
        <v>0.16698239306984308</v>
      </c>
      <c r="K34" s="163">
        <f>BDI!$C$27</f>
        <v>0.277463005064716</v>
      </c>
      <c r="L34" s="36">
        <f t="shared" si="14"/>
        <v>69289.999702183442</v>
      </c>
      <c r="M34" s="36">
        <f t="shared" si="15"/>
        <v>2698.0018666966803</v>
      </c>
      <c r="N34" s="37">
        <f t="shared" si="16"/>
        <v>71988.001568880121</v>
      </c>
      <c r="O34" s="6"/>
    </row>
    <row r="35" spans="1:15" ht="20.100000000000001" customHeight="1" x14ac:dyDescent="0.25">
      <c r="A35" s="10"/>
      <c r="B35" s="23" t="s">
        <v>40</v>
      </c>
      <c r="C35" s="8" t="s">
        <v>7</v>
      </c>
      <c r="D35" s="8">
        <v>400</v>
      </c>
      <c r="E35" s="29">
        <v>6.87</v>
      </c>
      <c r="F35" s="29">
        <f t="shared" ref="F35" si="17">E35*0.5</f>
        <v>3.4350000000000001</v>
      </c>
      <c r="G35" s="29">
        <f t="shared" si="11"/>
        <v>2748</v>
      </c>
      <c r="H35" s="29">
        <f t="shared" si="12"/>
        <v>1374</v>
      </c>
      <c r="I35" s="31">
        <f t="shared" si="13"/>
        <v>4122</v>
      </c>
      <c r="J35" s="163">
        <f>BDI!$C$13</f>
        <v>0.16698239306984308</v>
      </c>
      <c r="K35" s="163">
        <f>BDI!$C$27</f>
        <v>0.277463005064716</v>
      </c>
      <c r="L35" s="36">
        <f t="shared" si="14"/>
        <v>3206.8676161559288</v>
      </c>
      <c r="M35" s="36">
        <f t="shared" si="15"/>
        <v>1755.2341689589198</v>
      </c>
      <c r="N35" s="37">
        <f t="shared" si="16"/>
        <v>4962.1017851148481</v>
      </c>
      <c r="O35" s="6"/>
    </row>
    <row r="36" spans="1:15" ht="20.100000000000001" customHeight="1" x14ac:dyDescent="0.25">
      <c r="A36" s="10"/>
      <c r="B36" s="23" t="s">
        <v>3</v>
      </c>
      <c r="C36" s="8" t="s">
        <v>6</v>
      </c>
      <c r="D36" s="8">
        <v>48</v>
      </c>
      <c r="E36" s="29">
        <v>38.799999999999997</v>
      </c>
      <c r="F36" s="29">
        <f>D36*5</f>
        <v>240</v>
      </c>
      <c r="G36" s="29">
        <f t="shared" si="11"/>
        <v>1862.3999999999999</v>
      </c>
      <c r="H36" s="29">
        <f t="shared" si="12"/>
        <v>11520</v>
      </c>
      <c r="I36" s="31">
        <f t="shared" si="13"/>
        <v>13382.4</v>
      </c>
      <c r="J36" s="163">
        <f>BDI!$C$13</f>
        <v>0.16698239306984308</v>
      </c>
      <c r="K36" s="163">
        <f>BDI!$C$27</f>
        <v>0.277463005064716</v>
      </c>
      <c r="L36" s="36">
        <f t="shared" si="14"/>
        <v>2173.3880088532756</v>
      </c>
      <c r="M36" s="36">
        <f t="shared" si="15"/>
        <v>14716.373818345528</v>
      </c>
      <c r="N36" s="37">
        <f t="shared" si="16"/>
        <v>16889.761827198803</v>
      </c>
      <c r="O36" s="6"/>
    </row>
    <row r="37" spans="1:15" ht="20.100000000000001" customHeight="1" thickBot="1" x14ac:dyDescent="0.3">
      <c r="A37" s="14"/>
      <c r="B37" s="52" t="s">
        <v>4</v>
      </c>
      <c r="C37" s="53" t="s">
        <v>6</v>
      </c>
      <c r="D37" s="53">
        <v>48</v>
      </c>
      <c r="E37" s="50">
        <v>4.9000000000000004</v>
      </c>
      <c r="F37" s="50">
        <v>0</v>
      </c>
      <c r="G37" s="50">
        <f t="shared" si="11"/>
        <v>235.20000000000002</v>
      </c>
      <c r="H37" s="50">
        <f t="shared" si="12"/>
        <v>0</v>
      </c>
      <c r="I37" s="44">
        <f t="shared" si="13"/>
        <v>235.20000000000002</v>
      </c>
      <c r="J37" s="165">
        <f>BDI!$C$13</f>
        <v>0.16698239306984308</v>
      </c>
      <c r="K37" s="165">
        <f>BDI!$C$27</f>
        <v>0.277463005064716</v>
      </c>
      <c r="L37" s="54">
        <f t="shared" si="14"/>
        <v>274.47425885002713</v>
      </c>
      <c r="M37" s="54">
        <f t="shared" si="15"/>
        <v>0</v>
      </c>
      <c r="N37" s="55">
        <f t="shared" si="16"/>
        <v>274.47425885002713</v>
      </c>
      <c r="O37" s="6"/>
    </row>
    <row r="38" spans="1:15" ht="30" customHeight="1" thickBot="1" x14ac:dyDescent="0.3">
      <c r="A38" s="66"/>
      <c r="B38" s="255" t="s">
        <v>24</v>
      </c>
      <c r="C38" s="253"/>
      <c r="D38" s="253"/>
      <c r="E38" s="253"/>
      <c r="F38" s="254"/>
      <c r="G38" s="59">
        <f t="shared" ref="G38:N38" si="18">SUM(G28:G37)</f>
        <v>83655.959999999992</v>
      </c>
      <c r="H38" s="59">
        <f t="shared" si="18"/>
        <v>25666</v>
      </c>
      <c r="I38" s="60">
        <f t="shared" si="18"/>
        <v>109321.95999999999</v>
      </c>
      <c r="J38" s="167">
        <f>BDI!$C$13</f>
        <v>0.16698239306984308</v>
      </c>
      <c r="K38" s="167">
        <f>BDI!$C$27</f>
        <v>0.277463005064716</v>
      </c>
      <c r="L38" s="61">
        <f t="shared" si="18"/>
        <v>97625.032395355069</v>
      </c>
      <c r="M38" s="61">
        <f t="shared" si="18"/>
        <v>32787.365487991003</v>
      </c>
      <c r="N38" s="62">
        <f t="shared" si="18"/>
        <v>130412.39788334607</v>
      </c>
    </row>
    <row r="39" spans="1:15" ht="15.75" customHeight="1" x14ac:dyDescent="0.3">
      <c r="A39" s="175"/>
      <c r="B39" s="175"/>
      <c r="C39" s="18"/>
      <c r="D39" s="18"/>
      <c r="E39" s="51"/>
      <c r="F39" s="51"/>
      <c r="G39" s="1"/>
      <c r="H39" s="1"/>
      <c r="I39" s="1"/>
      <c r="J39" s="1"/>
      <c r="K39" s="1"/>
      <c r="L39" s="1"/>
      <c r="M39" s="1"/>
      <c r="N39" s="1"/>
    </row>
    <row r="40" spans="1:15" ht="16.5" thickBot="1" x14ac:dyDescent="0.3">
      <c r="A40" s="162"/>
      <c r="B40" s="176"/>
      <c r="C40" s="138"/>
      <c r="D40" s="138"/>
      <c r="E40" s="51"/>
      <c r="F40" s="51"/>
      <c r="G40" s="1"/>
      <c r="H40" s="1"/>
      <c r="I40" s="1"/>
      <c r="J40" s="1"/>
      <c r="K40" s="1"/>
      <c r="L40" s="1"/>
      <c r="M40" s="1"/>
      <c r="N40" s="1"/>
    </row>
    <row r="41" spans="1:15" ht="24.95" customHeight="1" x14ac:dyDescent="0.25">
      <c r="A41" s="287" t="s">
        <v>56</v>
      </c>
      <c r="B41" s="259" t="s">
        <v>55</v>
      </c>
      <c r="C41" s="259" t="s">
        <v>1</v>
      </c>
      <c r="D41" s="259" t="s">
        <v>2</v>
      </c>
      <c r="E41" s="259" t="s">
        <v>44</v>
      </c>
      <c r="F41" s="259"/>
      <c r="G41" s="259" t="s">
        <v>42</v>
      </c>
      <c r="H41" s="259"/>
      <c r="I41" s="259"/>
      <c r="J41" s="285" t="s">
        <v>137</v>
      </c>
      <c r="K41" s="286"/>
      <c r="L41" s="259" t="s">
        <v>43</v>
      </c>
      <c r="M41" s="259"/>
      <c r="N41" s="289"/>
    </row>
    <row r="42" spans="1:15" ht="24.95" customHeight="1" thickBot="1" x14ac:dyDescent="0.3">
      <c r="A42" s="288"/>
      <c r="B42" s="260"/>
      <c r="C42" s="260"/>
      <c r="D42" s="260"/>
      <c r="E42" s="178" t="s">
        <v>16</v>
      </c>
      <c r="F42" s="178" t="s">
        <v>17</v>
      </c>
      <c r="G42" s="178" t="s">
        <v>16</v>
      </c>
      <c r="H42" s="178" t="s">
        <v>17</v>
      </c>
      <c r="I42" s="178" t="s">
        <v>18</v>
      </c>
      <c r="J42" s="178" t="s">
        <v>16</v>
      </c>
      <c r="K42" s="178" t="s">
        <v>17</v>
      </c>
      <c r="L42" s="178" t="s">
        <v>45</v>
      </c>
      <c r="M42" s="178" t="s">
        <v>17</v>
      </c>
      <c r="N42" s="179" t="s">
        <v>18</v>
      </c>
    </row>
    <row r="43" spans="1:15" ht="20.100000000000001" customHeight="1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</row>
    <row r="44" spans="1:15" ht="24.95" customHeight="1" x14ac:dyDescent="0.25">
      <c r="A44" s="12">
        <v>4</v>
      </c>
      <c r="B44" s="15" t="s">
        <v>23</v>
      </c>
      <c r="C44" s="32"/>
      <c r="D44" s="32"/>
      <c r="E44" s="33"/>
      <c r="F44" s="33"/>
      <c r="G44" s="33"/>
      <c r="H44" s="33"/>
      <c r="I44" s="34"/>
      <c r="J44" s="34"/>
      <c r="K44" s="34"/>
      <c r="L44" s="34"/>
      <c r="M44" s="34"/>
      <c r="N44" s="35"/>
    </row>
    <row r="45" spans="1:15" ht="20.100000000000001" customHeight="1" x14ac:dyDescent="0.25">
      <c r="A45" s="10"/>
      <c r="B45" s="23" t="s">
        <v>81</v>
      </c>
      <c r="C45" s="8" t="s">
        <v>33</v>
      </c>
      <c r="D45" s="68">
        <v>198</v>
      </c>
      <c r="E45" s="29">
        <v>1100</v>
      </c>
      <c r="F45" s="29">
        <f>E45*0.2</f>
        <v>220</v>
      </c>
      <c r="G45" s="29">
        <f t="shared" ref="G45:G51" si="19">D45*E45</f>
        <v>217800</v>
      </c>
      <c r="H45" s="29">
        <f t="shared" ref="H45:H51" si="20">F45*D45</f>
        <v>43560</v>
      </c>
      <c r="I45" s="31">
        <f t="shared" ref="I45:I51" si="21">SUM(G45:H45)</f>
        <v>261360</v>
      </c>
      <c r="J45" s="163">
        <f>BDI!$C$13</f>
        <v>0.16698239306984308</v>
      </c>
      <c r="K45" s="163">
        <f>BDI!$C$27</f>
        <v>0.277463005064716</v>
      </c>
      <c r="L45" s="36">
        <f t="shared" ref="L45:L51" si="22">G45+G45*J45</f>
        <v>254168.76521061183</v>
      </c>
      <c r="M45" s="36">
        <f t="shared" ref="M45:M51" si="23">H45+H45*K45</f>
        <v>55646.288500619026</v>
      </c>
      <c r="N45" s="37">
        <f t="shared" ref="N45:N51" si="24">L45+M45</f>
        <v>309815.05371123087</v>
      </c>
    </row>
    <row r="46" spans="1:15" ht="20.100000000000001" customHeight="1" x14ac:dyDescent="0.25">
      <c r="A46" s="10"/>
      <c r="B46" s="23" t="s">
        <v>75</v>
      </c>
      <c r="C46" s="8" t="s">
        <v>9</v>
      </c>
      <c r="D46" s="8">
        <v>1320</v>
      </c>
      <c r="E46" s="29">
        <v>24.5</v>
      </c>
      <c r="F46" s="29">
        <f>E46*0.2</f>
        <v>4.9000000000000004</v>
      </c>
      <c r="G46" s="29">
        <f t="shared" si="19"/>
        <v>32340</v>
      </c>
      <c r="H46" s="29">
        <f t="shared" si="20"/>
        <v>6468.0000000000009</v>
      </c>
      <c r="I46" s="31">
        <f t="shared" si="21"/>
        <v>38808</v>
      </c>
      <c r="J46" s="163">
        <f>BDI!$C$13</f>
        <v>0.16698239306984308</v>
      </c>
      <c r="K46" s="163">
        <f>BDI!$C$27</f>
        <v>0.277463005064716</v>
      </c>
      <c r="L46" s="36">
        <f t="shared" si="22"/>
        <v>37740.210591878727</v>
      </c>
      <c r="M46" s="36">
        <f t="shared" si="23"/>
        <v>8262.6307167585837</v>
      </c>
      <c r="N46" s="37">
        <f t="shared" si="24"/>
        <v>46002.841308637311</v>
      </c>
    </row>
    <row r="47" spans="1:15" ht="20.100000000000001" customHeight="1" x14ac:dyDescent="0.25">
      <c r="A47" s="10"/>
      <c r="B47" s="23" t="s">
        <v>38</v>
      </c>
      <c r="C47" s="8" t="s">
        <v>6</v>
      </c>
      <c r="D47" s="8">
        <v>320</v>
      </c>
      <c r="E47" s="29">
        <v>10</v>
      </c>
      <c r="F47" s="29">
        <v>0</v>
      </c>
      <c r="G47" s="29">
        <f t="shared" si="19"/>
        <v>3200</v>
      </c>
      <c r="H47" s="29">
        <f t="shared" si="20"/>
        <v>0</v>
      </c>
      <c r="I47" s="31">
        <f t="shared" si="21"/>
        <v>3200</v>
      </c>
      <c r="J47" s="163">
        <f>BDI!$C$13</f>
        <v>0.16698239306984308</v>
      </c>
      <c r="K47" s="163">
        <f>BDI!$C$27</f>
        <v>0.277463005064716</v>
      </c>
      <c r="L47" s="36">
        <f t="shared" si="22"/>
        <v>3734.3436578234978</v>
      </c>
      <c r="M47" s="36">
        <f t="shared" si="23"/>
        <v>0</v>
      </c>
      <c r="N47" s="37">
        <f t="shared" si="24"/>
        <v>3734.3436578234978</v>
      </c>
    </row>
    <row r="48" spans="1:15" ht="20.100000000000001" customHeight="1" x14ac:dyDescent="0.25">
      <c r="A48" s="10"/>
      <c r="B48" s="23" t="s">
        <v>36</v>
      </c>
      <c r="C48" s="8" t="s">
        <v>7</v>
      </c>
      <c r="D48" s="8">
        <v>1320</v>
      </c>
      <c r="E48" s="29">
        <v>17.350000000000001</v>
      </c>
      <c r="F48" s="29">
        <f>E48*0.2</f>
        <v>3.4700000000000006</v>
      </c>
      <c r="G48" s="29">
        <f t="shared" si="19"/>
        <v>22902.000000000004</v>
      </c>
      <c r="H48" s="29">
        <f t="shared" si="20"/>
        <v>4580.4000000000005</v>
      </c>
      <c r="I48" s="31">
        <f t="shared" si="21"/>
        <v>27482.400000000005</v>
      </c>
      <c r="J48" s="163">
        <f>BDI!$C$13</f>
        <v>0.16698239306984308</v>
      </c>
      <c r="K48" s="163">
        <f>BDI!$C$27</f>
        <v>0.277463005064716</v>
      </c>
      <c r="L48" s="36">
        <f t="shared" si="22"/>
        <v>26726.230766085551</v>
      </c>
      <c r="M48" s="36">
        <f t="shared" si="23"/>
        <v>5851.2915483984261</v>
      </c>
      <c r="N48" s="37">
        <f t="shared" si="24"/>
        <v>32577.522314483977</v>
      </c>
    </row>
    <row r="49" spans="1:14" ht="20.100000000000001" customHeight="1" x14ac:dyDescent="0.25">
      <c r="A49" s="10"/>
      <c r="B49" s="23" t="s">
        <v>92</v>
      </c>
      <c r="C49" s="8" t="s">
        <v>6</v>
      </c>
      <c r="D49" s="8">
        <v>240</v>
      </c>
      <c r="E49" s="29">
        <v>3.7</v>
      </c>
      <c r="F49" s="29">
        <v>0</v>
      </c>
      <c r="G49" s="29">
        <f t="shared" si="19"/>
        <v>888</v>
      </c>
      <c r="H49" s="29">
        <f t="shared" si="20"/>
        <v>0</v>
      </c>
      <c r="I49" s="31">
        <f t="shared" si="21"/>
        <v>888</v>
      </c>
      <c r="J49" s="163">
        <f>BDI!$C$13</f>
        <v>0.16698239306984308</v>
      </c>
      <c r="K49" s="163">
        <f>BDI!$C$27</f>
        <v>0.277463005064716</v>
      </c>
      <c r="L49" s="36">
        <f t="shared" si="22"/>
        <v>1036.2803650460207</v>
      </c>
      <c r="M49" s="36">
        <f t="shared" si="23"/>
        <v>0</v>
      </c>
      <c r="N49" s="37">
        <f t="shared" si="24"/>
        <v>1036.2803650460207</v>
      </c>
    </row>
    <row r="50" spans="1:14" ht="20.100000000000001" customHeight="1" x14ac:dyDescent="0.25">
      <c r="A50" s="10"/>
      <c r="B50" s="23" t="s">
        <v>26</v>
      </c>
      <c r="C50" s="8" t="s">
        <v>6</v>
      </c>
      <c r="D50" s="8">
        <v>1080</v>
      </c>
      <c r="E50" s="29">
        <v>3.7</v>
      </c>
      <c r="F50" s="29">
        <v>0</v>
      </c>
      <c r="G50" s="29">
        <f t="shared" si="19"/>
        <v>3996</v>
      </c>
      <c r="H50" s="29">
        <f t="shared" si="20"/>
        <v>0</v>
      </c>
      <c r="I50" s="31">
        <f t="shared" si="21"/>
        <v>3996</v>
      </c>
      <c r="J50" s="163">
        <f>BDI!$C$13</f>
        <v>0.16698239306984308</v>
      </c>
      <c r="K50" s="163">
        <f>BDI!$C$27</f>
        <v>0.277463005064716</v>
      </c>
      <c r="L50" s="36">
        <f t="shared" si="22"/>
        <v>4663.2616427070934</v>
      </c>
      <c r="M50" s="36">
        <f t="shared" si="23"/>
        <v>0</v>
      </c>
      <c r="N50" s="37">
        <f t="shared" si="24"/>
        <v>4663.2616427070934</v>
      </c>
    </row>
    <row r="51" spans="1:14" ht="20.100000000000001" customHeight="1" thickBot="1" x14ac:dyDescent="0.3">
      <c r="A51" s="14"/>
      <c r="B51" s="52" t="s">
        <v>93</v>
      </c>
      <c r="C51" s="135" t="s">
        <v>6</v>
      </c>
      <c r="D51" s="135">
        <v>400</v>
      </c>
      <c r="E51" s="50">
        <v>3.35</v>
      </c>
      <c r="F51" s="50">
        <v>0</v>
      </c>
      <c r="G51" s="50">
        <f t="shared" si="19"/>
        <v>1340</v>
      </c>
      <c r="H51" s="50">
        <f t="shared" si="20"/>
        <v>0</v>
      </c>
      <c r="I51" s="44">
        <f t="shared" si="21"/>
        <v>1340</v>
      </c>
      <c r="J51" s="165">
        <f>BDI!$C$13</f>
        <v>0.16698239306984308</v>
      </c>
      <c r="K51" s="165">
        <f>BDI!$C$27</f>
        <v>0.277463005064716</v>
      </c>
      <c r="L51" s="54">
        <f t="shared" si="22"/>
        <v>1563.7564067135897</v>
      </c>
      <c r="M51" s="54">
        <f t="shared" si="23"/>
        <v>0</v>
      </c>
      <c r="N51" s="55">
        <f t="shared" si="24"/>
        <v>1563.7564067135897</v>
      </c>
    </row>
    <row r="52" spans="1:14" ht="30" customHeight="1" thickBot="1" x14ac:dyDescent="0.3">
      <c r="A52" s="66"/>
      <c r="B52" s="255" t="s">
        <v>148</v>
      </c>
      <c r="C52" s="253"/>
      <c r="D52" s="253"/>
      <c r="E52" s="253"/>
      <c r="F52" s="254"/>
      <c r="G52" s="59">
        <f t="shared" ref="G52:N52" si="25">SUM(G45:G51)</f>
        <v>282466</v>
      </c>
      <c r="H52" s="59">
        <f t="shared" si="25"/>
        <v>54608.4</v>
      </c>
      <c r="I52" s="59">
        <f t="shared" si="25"/>
        <v>337074.4</v>
      </c>
      <c r="J52" s="167">
        <f>BDI!$C$13</f>
        <v>0.16698239306984308</v>
      </c>
      <c r="K52" s="167">
        <f>BDI!$C$27</f>
        <v>0.277463005064716</v>
      </c>
      <c r="L52" s="61">
        <f t="shared" si="25"/>
        <v>329632.84864086629</v>
      </c>
      <c r="M52" s="61">
        <f t="shared" si="25"/>
        <v>69760.210765776035</v>
      </c>
      <c r="N52" s="62">
        <f t="shared" si="25"/>
        <v>399393.05940664234</v>
      </c>
    </row>
    <row r="53" spans="1:14" ht="20.100000000000001" customHeight="1" x14ac:dyDescent="0.25">
      <c r="A53" s="12"/>
      <c r="B53" s="15"/>
      <c r="C53" s="136"/>
      <c r="D53" s="136"/>
      <c r="E53" s="33"/>
      <c r="F53" s="33"/>
      <c r="G53" s="33"/>
      <c r="H53" s="34"/>
      <c r="I53" s="34"/>
      <c r="J53" s="34"/>
      <c r="K53" s="34"/>
      <c r="L53" s="34"/>
      <c r="M53" s="34"/>
      <c r="N53" s="35"/>
    </row>
    <row r="54" spans="1:14" ht="24.95" customHeight="1" x14ac:dyDescent="0.25">
      <c r="A54" s="10">
        <v>5</v>
      </c>
      <c r="B54" s="2" t="s">
        <v>20</v>
      </c>
      <c r="C54" s="8"/>
      <c r="D54" s="8"/>
      <c r="E54" s="29"/>
      <c r="F54" s="29"/>
      <c r="G54" s="29"/>
      <c r="H54" s="29"/>
      <c r="I54" s="29"/>
      <c r="J54" s="29"/>
      <c r="K54" s="29"/>
      <c r="L54" s="23"/>
      <c r="M54" s="23"/>
      <c r="N54" s="38"/>
    </row>
    <row r="55" spans="1:14" ht="20.100000000000001" customHeight="1" x14ac:dyDescent="0.25">
      <c r="A55" s="11"/>
      <c r="B55" s="23" t="s">
        <v>19</v>
      </c>
      <c r="C55" s="8" t="s">
        <v>8</v>
      </c>
      <c r="D55" s="8">
        <v>20</v>
      </c>
      <c r="E55" s="29">
        <v>355</v>
      </c>
      <c r="F55" s="29">
        <v>0</v>
      </c>
      <c r="G55" s="29">
        <f>E55*D55</f>
        <v>7100</v>
      </c>
      <c r="H55" s="29">
        <f>F55*D55</f>
        <v>0</v>
      </c>
      <c r="I55" s="31">
        <f t="shared" ref="I55:I58" si="26">SUM(G55:H55)</f>
        <v>7100</v>
      </c>
      <c r="J55" s="163">
        <f>BDI!$C$13</f>
        <v>0.16698239306984308</v>
      </c>
      <c r="K55" s="163">
        <f>BDI!$C$27</f>
        <v>0.277463005064716</v>
      </c>
      <c r="L55" s="36">
        <f t="shared" ref="L55:L59" si="27">G55+G55*J55</f>
        <v>8285.5749907958852</v>
      </c>
      <c r="M55" s="36">
        <f t="shared" ref="M55:M59" si="28">H55+H55*K55</f>
        <v>0</v>
      </c>
      <c r="N55" s="37">
        <f>L55+M55</f>
        <v>8285.5749907958852</v>
      </c>
    </row>
    <row r="56" spans="1:14" ht="20.100000000000001" customHeight="1" x14ac:dyDescent="0.25">
      <c r="A56" s="11"/>
      <c r="B56" s="23" t="s">
        <v>80</v>
      </c>
      <c r="C56" s="8" t="s">
        <v>8</v>
      </c>
      <c r="D56" s="8">
        <f>D55</f>
        <v>20</v>
      </c>
      <c r="E56" s="29">
        <v>0</v>
      </c>
      <c r="F56" s="29">
        <v>600</v>
      </c>
      <c r="G56" s="29">
        <f>E56*D56</f>
        <v>0</v>
      </c>
      <c r="H56" s="29">
        <f>F56*D56</f>
        <v>12000</v>
      </c>
      <c r="I56" s="31">
        <f t="shared" si="26"/>
        <v>12000</v>
      </c>
      <c r="J56" s="163">
        <f>BDI!$C$13</f>
        <v>0.16698239306984308</v>
      </c>
      <c r="K56" s="163">
        <f>BDI!$C$27</f>
        <v>0.277463005064716</v>
      </c>
      <c r="L56" s="36">
        <f t="shared" si="27"/>
        <v>0</v>
      </c>
      <c r="M56" s="36">
        <f t="shared" si="28"/>
        <v>15329.556060776591</v>
      </c>
      <c r="N56" s="37">
        <f>L56+M56</f>
        <v>15329.556060776591</v>
      </c>
    </row>
    <row r="57" spans="1:14" ht="20.100000000000001" customHeight="1" x14ac:dyDescent="0.25">
      <c r="A57" s="11"/>
      <c r="B57" s="23" t="s">
        <v>65</v>
      </c>
      <c r="C57" s="8" t="s">
        <v>7</v>
      </c>
      <c r="D57" s="8">
        <v>90</v>
      </c>
      <c r="E57" s="29">
        <v>40</v>
      </c>
      <c r="F57" s="29">
        <v>60</v>
      </c>
      <c r="G57" s="29">
        <f>E57*D57</f>
        <v>3600</v>
      </c>
      <c r="H57" s="29">
        <f>F57*D57</f>
        <v>5400</v>
      </c>
      <c r="I57" s="31">
        <f t="shared" si="26"/>
        <v>9000</v>
      </c>
      <c r="J57" s="163">
        <f>BDI!$C$13</f>
        <v>0.16698239306984308</v>
      </c>
      <c r="K57" s="163">
        <f>BDI!$C$27</f>
        <v>0.277463005064716</v>
      </c>
      <c r="L57" s="36">
        <f t="shared" si="27"/>
        <v>4201.136615051435</v>
      </c>
      <c r="M57" s="36">
        <f t="shared" si="28"/>
        <v>6898.3002273494667</v>
      </c>
      <c r="N57" s="39">
        <f>I57*1.167</f>
        <v>10503</v>
      </c>
    </row>
    <row r="58" spans="1:14" ht="20.100000000000001" customHeight="1" x14ac:dyDescent="0.25">
      <c r="A58" s="11"/>
      <c r="B58" s="23" t="s">
        <v>48</v>
      </c>
      <c r="C58" s="8" t="s">
        <v>6</v>
      </c>
      <c r="D58" s="8">
        <v>5</v>
      </c>
      <c r="E58" s="29">
        <v>850</v>
      </c>
      <c r="F58" s="29">
        <v>800</v>
      </c>
      <c r="G58" s="29">
        <f>E58*D58</f>
        <v>4250</v>
      </c>
      <c r="H58" s="29">
        <f>F58*D58</f>
        <v>4000</v>
      </c>
      <c r="I58" s="31">
        <f t="shared" si="26"/>
        <v>8250</v>
      </c>
      <c r="J58" s="163">
        <f>BDI!$C$13</f>
        <v>0.16698239306984308</v>
      </c>
      <c r="K58" s="163">
        <f>BDI!$C$27</f>
        <v>0.277463005064716</v>
      </c>
      <c r="L58" s="36">
        <f t="shared" si="27"/>
        <v>4959.6751705468332</v>
      </c>
      <c r="M58" s="36">
        <f t="shared" si="28"/>
        <v>5109.8520202588643</v>
      </c>
      <c r="N58" s="39">
        <f>I58*1.167</f>
        <v>9627.75</v>
      </c>
    </row>
    <row r="59" spans="1:14" ht="20.100000000000001" customHeight="1" thickBot="1" x14ac:dyDescent="0.3">
      <c r="A59" s="134"/>
      <c r="B59" s="52" t="s">
        <v>104</v>
      </c>
      <c r="C59" s="135" t="s">
        <v>9</v>
      </c>
      <c r="D59" s="135">
        <f>2.3*3.66</f>
        <v>8.4179999999999993</v>
      </c>
      <c r="E59" s="50">
        <v>600</v>
      </c>
      <c r="F59" s="50">
        <v>600</v>
      </c>
      <c r="G59" s="50">
        <f>E59*D59</f>
        <v>5050.7999999999993</v>
      </c>
      <c r="H59" s="50">
        <f>F59*D59</f>
        <v>5050.7999999999993</v>
      </c>
      <c r="I59" s="44">
        <f t="shared" ref="I59" si="29">SUM(G59:H59)</f>
        <v>10101.599999999999</v>
      </c>
      <c r="J59" s="165">
        <f>BDI!$C$13</f>
        <v>0.16698239306984308</v>
      </c>
      <c r="K59" s="165">
        <f>BDI!$C$27</f>
        <v>0.277463005064716</v>
      </c>
      <c r="L59" s="54">
        <f t="shared" si="27"/>
        <v>5894.1946709171625</v>
      </c>
      <c r="M59" s="54">
        <f t="shared" si="28"/>
        <v>6452.2101459808664</v>
      </c>
      <c r="N59" s="155">
        <f>I59*1.167</f>
        <v>11788.5672</v>
      </c>
    </row>
    <row r="60" spans="1:14" ht="30" customHeight="1" thickBot="1" x14ac:dyDescent="0.3">
      <c r="A60" s="66"/>
      <c r="B60" s="255" t="s">
        <v>149</v>
      </c>
      <c r="C60" s="253"/>
      <c r="D60" s="253"/>
      <c r="E60" s="253"/>
      <c r="F60" s="254"/>
      <c r="G60" s="59">
        <f t="shared" ref="G60:N60" si="30">SUM(G55:G59)</f>
        <v>20000.8</v>
      </c>
      <c r="H60" s="59">
        <f t="shared" si="30"/>
        <v>26450.799999999999</v>
      </c>
      <c r="I60" s="59">
        <f t="shared" si="30"/>
        <v>46451.6</v>
      </c>
      <c r="J60" s="167">
        <f>BDI!$C$13</f>
        <v>0.16698239306984308</v>
      </c>
      <c r="K60" s="167">
        <f>BDI!$C$27</f>
        <v>0.277463005064716</v>
      </c>
      <c r="L60" s="61">
        <f t="shared" si="30"/>
        <v>23340.581447311313</v>
      </c>
      <c r="M60" s="61">
        <f t="shared" si="30"/>
        <v>33789.91845436579</v>
      </c>
      <c r="N60" s="62">
        <f t="shared" si="30"/>
        <v>55534.448251572474</v>
      </c>
    </row>
    <row r="61" spans="1:14" ht="20.100000000000001" customHeight="1" x14ac:dyDescent="0.25">
      <c r="A61" s="12"/>
      <c r="B61" s="16"/>
      <c r="C61" s="19"/>
      <c r="D61" s="156" t="s">
        <v>10</v>
      </c>
      <c r="E61" s="157"/>
      <c r="F61" s="157"/>
      <c r="G61" s="157"/>
      <c r="H61" s="34"/>
      <c r="I61" s="34"/>
      <c r="J61" s="34"/>
      <c r="K61" s="34"/>
      <c r="L61" s="34"/>
      <c r="M61" s="34"/>
      <c r="N61" s="35"/>
    </row>
    <row r="62" spans="1:14" ht="24.95" customHeight="1" x14ac:dyDescent="0.25">
      <c r="A62" s="10">
        <v>6</v>
      </c>
      <c r="B62" s="24" t="s">
        <v>27</v>
      </c>
      <c r="C62" s="20"/>
      <c r="D62" s="40"/>
      <c r="E62" s="30"/>
      <c r="F62" s="30"/>
      <c r="G62" s="30" t="s">
        <v>10</v>
      </c>
      <c r="H62" s="30"/>
      <c r="I62" s="30"/>
      <c r="J62" s="30"/>
      <c r="K62" s="30"/>
      <c r="L62" s="23"/>
      <c r="M62" s="23"/>
      <c r="N62" s="38"/>
    </row>
    <row r="63" spans="1:14" ht="20.100000000000001" customHeight="1" x14ac:dyDescent="0.25">
      <c r="A63" s="10"/>
      <c r="B63" s="23" t="s">
        <v>14</v>
      </c>
      <c r="C63" s="8" t="s">
        <v>6</v>
      </c>
      <c r="D63" s="41">
        <v>6</v>
      </c>
      <c r="E63" s="29">
        <v>0</v>
      </c>
      <c r="F63" s="29">
        <v>850</v>
      </c>
      <c r="G63" s="29">
        <f>E63*D63</f>
        <v>0</v>
      </c>
      <c r="H63" s="29">
        <f>F63*D63</f>
        <v>5100</v>
      </c>
      <c r="I63" s="31">
        <f t="shared" ref="I63:I65" si="31">SUM(G63:H63)</f>
        <v>5100</v>
      </c>
      <c r="J63" s="163">
        <f>BDI!$C$13</f>
        <v>0.16698239306984308</v>
      </c>
      <c r="K63" s="163">
        <f>BDI!$C$27</f>
        <v>0.277463005064716</v>
      </c>
      <c r="L63" s="36">
        <f t="shared" ref="L63:L65" si="32">G63+G63*J63</f>
        <v>0</v>
      </c>
      <c r="M63" s="36">
        <f t="shared" ref="M63:M65" si="33">H63+H63*K63</f>
        <v>6515.0613258300518</v>
      </c>
      <c r="N63" s="37">
        <f>L63+M63</f>
        <v>6515.0613258300518</v>
      </c>
    </row>
    <row r="64" spans="1:14" ht="20.100000000000001" customHeight="1" x14ac:dyDescent="0.25">
      <c r="A64" s="10"/>
      <c r="B64" s="23" t="s">
        <v>30</v>
      </c>
      <c r="C64" s="8" t="s">
        <v>33</v>
      </c>
      <c r="D64" s="42">
        <v>198</v>
      </c>
      <c r="E64" s="29">
        <v>0</v>
      </c>
      <c r="F64" s="29">
        <v>20</v>
      </c>
      <c r="G64" s="29">
        <f>E64*D64</f>
        <v>0</v>
      </c>
      <c r="H64" s="29">
        <f>F64*D64</f>
        <v>3960</v>
      </c>
      <c r="I64" s="31">
        <f t="shared" si="31"/>
        <v>3960</v>
      </c>
      <c r="J64" s="163">
        <f>BDI!$C$13</f>
        <v>0.16698239306984308</v>
      </c>
      <c r="K64" s="163">
        <f>BDI!$C$27</f>
        <v>0.277463005064716</v>
      </c>
      <c r="L64" s="36">
        <f t="shared" si="32"/>
        <v>0</v>
      </c>
      <c r="M64" s="36">
        <f t="shared" si="33"/>
        <v>5058.7535000562748</v>
      </c>
      <c r="N64" s="37">
        <f>L64+M64</f>
        <v>5058.7535000562748</v>
      </c>
    </row>
    <row r="65" spans="1:14" ht="20.100000000000001" customHeight="1" thickBot="1" x14ac:dyDescent="0.3">
      <c r="A65" s="14"/>
      <c r="B65" s="52" t="s">
        <v>78</v>
      </c>
      <c r="C65" s="159" t="s">
        <v>6</v>
      </c>
      <c r="D65" s="164">
        <v>1</v>
      </c>
      <c r="E65" s="50">
        <v>1000</v>
      </c>
      <c r="F65" s="50">
        <v>2500</v>
      </c>
      <c r="G65" s="50">
        <f>E65*D65</f>
        <v>1000</v>
      </c>
      <c r="H65" s="50">
        <f>F65*D65</f>
        <v>2500</v>
      </c>
      <c r="I65" s="44">
        <f t="shared" si="31"/>
        <v>3500</v>
      </c>
      <c r="J65" s="165">
        <f>BDI!$C$13</f>
        <v>0.16698239306984308</v>
      </c>
      <c r="K65" s="165">
        <f>BDI!$C$27</f>
        <v>0.277463005064716</v>
      </c>
      <c r="L65" s="54">
        <f t="shared" si="32"/>
        <v>1166.9823930698431</v>
      </c>
      <c r="M65" s="54">
        <f t="shared" si="33"/>
        <v>3193.65751266179</v>
      </c>
      <c r="N65" s="55">
        <f>L65+M65</f>
        <v>4360.639905731633</v>
      </c>
    </row>
    <row r="66" spans="1:14" ht="30" customHeight="1" thickBot="1" x14ac:dyDescent="0.3">
      <c r="A66" s="66"/>
      <c r="B66" s="255" t="s">
        <v>46</v>
      </c>
      <c r="C66" s="253"/>
      <c r="D66" s="253"/>
      <c r="E66" s="253"/>
      <c r="F66" s="254"/>
      <c r="G66" s="59">
        <f t="shared" ref="G66:N66" si="34">SUM(G63:G65)</f>
        <v>1000</v>
      </c>
      <c r="H66" s="59">
        <f t="shared" si="34"/>
        <v>11560</v>
      </c>
      <c r="I66" s="59">
        <f t="shared" si="34"/>
        <v>12560</v>
      </c>
      <c r="J66" s="167">
        <f>BDI!$C$13</f>
        <v>0.16698239306984308</v>
      </c>
      <c r="K66" s="167">
        <f>BDI!$C$27</f>
        <v>0.277463005064716</v>
      </c>
      <c r="L66" s="61">
        <f t="shared" si="34"/>
        <v>1166.9823930698431</v>
      </c>
      <c r="M66" s="61">
        <f t="shared" si="34"/>
        <v>14767.472338548116</v>
      </c>
      <c r="N66" s="62">
        <f t="shared" si="34"/>
        <v>15934.45473161796</v>
      </c>
    </row>
    <row r="67" spans="1:14" ht="20.100000000000001" customHeight="1" x14ac:dyDescent="0.25">
      <c r="A67" s="12"/>
      <c r="B67" s="16"/>
      <c r="C67" s="161"/>
      <c r="D67" s="166"/>
      <c r="E67" s="157"/>
      <c r="F67" s="157"/>
      <c r="G67" s="33"/>
      <c r="H67" s="103"/>
      <c r="I67" s="103"/>
      <c r="J67" s="103"/>
      <c r="K67" s="103"/>
      <c r="L67" s="103"/>
      <c r="M67" s="34"/>
      <c r="N67" s="35"/>
    </row>
    <row r="68" spans="1:14" ht="24.95" customHeight="1" x14ac:dyDescent="0.25">
      <c r="A68" s="10">
        <v>7</v>
      </c>
      <c r="B68" s="24" t="s">
        <v>62</v>
      </c>
      <c r="C68" s="8"/>
      <c r="D68" s="43"/>
      <c r="E68" s="30"/>
      <c r="F68" s="30"/>
      <c r="G68" s="30"/>
      <c r="H68" s="30"/>
      <c r="I68" s="30"/>
      <c r="J68" s="30"/>
      <c r="K68" s="30"/>
      <c r="L68" s="23"/>
      <c r="M68" s="23"/>
      <c r="N68" s="38"/>
    </row>
    <row r="69" spans="1:14" ht="20.100000000000001" customHeight="1" thickBot="1" x14ac:dyDescent="0.3">
      <c r="A69" s="14"/>
      <c r="B69" s="52" t="s">
        <v>60</v>
      </c>
      <c r="C69" s="159" t="s">
        <v>41</v>
      </c>
      <c r="D69" s="168">
        <v>3</v>
      </c>
      <c r="E69" s="50">
        <v>0</v>
      </c>
      <c r="F69" s="50">
        <v>7500</v>
      </c>
      <c r="G69" s="50">
        <v>0</v>
      </c>
      <c r="H69" s="50">
        <f>F69*D69</f>
        <v>22500</v>
      </c>
      <c r="I69" s="44">
        <f t="shared" ref="I69" si="35">SUM(G69:H69)</f>
        <v>22500</v>
      </c>
      <c r="J69" s="165">
        <f>BDI!$C$13</f>
        <v>0.16698239306984308</v>
      </c>
      <c r="K69" s="165">
        <f>BDI!$C$27</f>
        <v>0.277463005064716</v>
      </c>
      <c r="L69" s="54">
        <f>G69+G69*J69</f>
        <v>0</v>
      </c>
      <c r="M69" s="54">
        <f>H69+H69*K69</f>
        <v>28742.91761395611</v>
      </c>
      <c r="N69" s="55">
        <f>L69+M69</f>
        <v>28742.91761395611</v>
      </c>
    </row>
    <row r="70" spans="1:14" ht="30" customHeight="1" thickBot="1" x14ac:dyDescent="0.3">
      <c r="A70" s="58"/>
      <c r="B70" s="255" t="s">
        <v>28</v>
      </c>
      <c r="C70" s="253"/>
      <c r="D70" s="253"/>
      <c r="E70" s="253"/>
      <c r="F70" s="254"/>
      <c r="G70" s="60">
        <f t="shared" ref="G70:N70" si="36">SUM(G69:G69)</f>
        <v>0</v>
      </c>
      <c r="H70" s="60">
        <f t="shared" si="36"/>
        <v>22500</v>
      </c>
      <c r="I70" s="60">
        <f t="shared" si="36"/>
        <v>22500</v>
      </c>
      <c r="J70" s="167">
        <f>BDI!$C$13</f>
        <v>0.16698239306984308</v>
      </c>
      <c r="K70" s="167">
        <f>BDI!$C$27</f>
        <v>0.277463005064716</v>
      </c>
      <c r="L70" s="61">
        <f t="shared" si="36"/>
        <v>0</v>
      </c>
      <c r="M70" s="61">
        <f t="shared" si="36"/>
        <v>28742.91761395611</v>
      </c>
      <c r="N70" s="62">
        <f t="shared" si="36"/>
        <v>28742.91761395611</v>
      </c>
    </row>
    <row r="71" spans="1:14" ht="20.100000000000001" customHeight="1" thickBot="1" x14ac:dyDescent="0.3">
      <c r="A71" s="169"/>
      <c r="B71" s="256"/>
      <c r="C71" s="257"/>
      <c r="D71" s="257"/>
      <c r="E71" s="257"/>
      <c r="F71" s="258"/>
      <c r="G71" s="170"/>
      <c r="H71" s="170"/>
      <c r="I71" s="170"/>
      <c r="J71" s="170"/>
      <c r="K71" s="172"/>
      <c r="L71" s="104"/>
      <c r="M71" s="104"/>
      <c r="N71" s="171"/>
    </row>
    <row r="72" spans="1:14" ht="30" customHeight="1" thickBot="1" x14ac:dyDescent="0.3">
      <c r="A72" s="58">
        <v>8</v>
      </c>
      <c r="B72" s="255" t="s">
        <v>29</v>
      </c>
      <c r="C72" s="253"/>
      <c r="D72" s="253"/>
      <c r="E72" s="253"/>
      <c r="F72" s="254"/>
      <c r="G72" s="173">
        <f>G14+G25+G38+G52+G60+G66+G70</f>
        <v>876130.76</v>
      </c>
      <c r="H72" s="173">
        <f>H14+H25+H38+H52+H60+H66+H70</f>
        <v>217892.8</v>
      </c>
      <c r="I72" s="173">
        <f>I14+I25+I38+I52+I60+I66+I70</f>
        <v>1094023.56</v>
      </c>
      <c r="J72" s="182">
        <f>BDI!$C$13</f>
        <v>0.16698239306984308</v>
      </c>
      <c r="K72" s="182">
        <f>BDI!$C$27</f>
        <v>0.277463005064716</v>
      </c>
      <c r="L72" s="174">
        <f>L14+L25+L38+L52+L60+L66+L70</f>
        <v>1022429.1709469004</v>
      </c>
      <c r="M72" s="174">
        <f>M14+M25+M38+M52+M60+M66+M70</f>
        <v>278349.99106996512</v>
      </c>
      <c r="N72" s="158">
        <f>N14+N25+N38+N52+N60+N66+N70</f>
        <v>1299183.110366761</v>
      </c>
    </row>
    <row r="73" spans="1:14" ht="30" customHeight="1" thickBot="1" x14ac:dyDescent="0.3">
      <c r="A73" s="58">
        <v>9</v>
      </c>
      <c r="B73" s="151" t="s">
        <v>13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3"/>
      <c r="N73" s="158">
        <f>N72/198</f>
        <v>6561.5308604381871</v>
      </c>
    </row>
    <row r="74" spans="1:14" ht="9.9499999999999993" customHeight="1" x14ac:dyDescent="0.25">
      <c r="A74" s="277" t="s">
        <v>68</v>
      </c>
      <c r="B74" s="277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7"/>
    </row>
    <row r="75" spans="1:14" ht="9.9499999999999993" customHeight="1" x14ac:dyDescent="0.25">
      <c r="A75" s="278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</row>
    <row r="76" spans="1:14" ht="9.9499999999999993" customHeight="1" x14ac:dyDescent="0.25">
      <c r="A76" s="276" t="s">
        <v>67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 ht="9.9499999999999993" customHeight="1" x14ac:dyDescent="0.25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 x14ac:dyDescent="0.25">
      <c r="A78" s="1"/>
      <c r="B78" s="3"/>
      <c r="C78" s="3"/>
      <c r="D78" s="3"/>
    </row>
    <row r="79" spans="1:14" ht="15.75" thickBot="1" x14ac:dyDescent="0.3">
      <c r="A79" s="1"/>
      <c r="B79" s="3"/>
      <c r="C79" s="3"/>
      <c r="D79" s="3"/>
      <c r="G79" t="s">
        <v>54</v>
      </c>
    </row>
    <row r="80" spans="1:14" ht="50.1" customHeight="1" x14ac:dyDescent="0.25">
      <c r="A80" s="324" t="s">
        <v>52</v>
      </c>
      <c r="B80" s="325"/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6"/>
      <c r="N80" s="204"/>
    </row>
    <row r="81" spans="1:13" ht="50.1" customHeight="1" thickBot="1" x14ac:dyDescent="0.3">
      <c r="A81" s="327" t="s">
        <v>151</v>
      </c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9"/>
    </row>
    <row r="82" spans="1:13" ht="15.75" x14ac:dyDescent="0.25">
      <c r="A82" s="269" t="s">
        <v>82</v>
      </c>
      <c r="B82" s="241" t="s">
        <v>83</v>
      </c>
      <c r="C82" s="242"/>
      <c r="D82" s="242"/>
      <c r="E82" s="242"/>
      <c r="F82" s="243"/>
      <c r="G82" s="279" t="s">
        <v>58</v>
      </c>
      <c r="H82" s="279" t="s">
        <v>2</v>
      </c>
      <c r="I82" s="205" t="s">
        <v>51</v>
      </c>
      <c r="J82" s="206"/>
      <c r="K82" s="206"/>
      <c r="L82" s="207"/>
      <c r="M82" s="270" t="s">
        <v>53</v>
      </c>
    </row>
    <row r="83" spans="1:13" ht="16.5" thickBot="1" x14ac:dyDescent="0.3">
      <c r="A83" s="240"/>
      <c r="B83" s="244"/>
      <c r="C83" s="245"/>
      <c r="D83" s="245"/>
      <c r="E83" s="245"/>
      <c r="F83" s="246"/>
      <c r="G83" s="248"/>
      <c r="H83" s="248"/>
      <c r="I83" s="27">
        <v>30</v>
      </c>
      <c r="J83" s="27">
        <v>60</v>
      </c>
      <c r="K83" s="27">
        <v>90</v>
      </c>
      <c r="L83" s="27">
        <v>120</v>
      </c>
      <c r="M83" s="271"/>
    </row>
    <row r="84" spans="1:13" ht="30" customHeight="1" x14ac:dyDescent="0.25">
      <c r="A84" s="17">
        <v>1</v>
      </c>
      <c r="B84" s="139" t="s">
        <v>49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1"/>
    </row>
    <row r="85" spans="1:13" ht="20.100000000000001" customHeight="1" x14ac:dyDescent="0.25">
      <c r="A85" s="290"/>
      <c r="B85" s="210" t="s">
        <v>94</v>
      </c>
      <c r="C85" s="211"/>
      <c r="D85" s="211"/>
      <c r="E85" s="211"/>
      <c r="F85" s="212"/>
      <c r="G85" s="251" t="s">
        <v>9</v>
      </c>
      <c r="H85" s="249">
        <v>1500</v>
      </c>
      <c r="I85" s="69">
        <v>1</v>
      </c>
      <c r="J85" s="53"/>
      <c r="K85" s="53"/>
      <c r="L85" s="53"/>
      <c r="M85" s="56"/>
    </row>
    <row r="86" spans="1:13" ht="20.100000000000001" customHeight="1" x14ac:dyDescent="0.25">
      <c r="A86" s="290"/>
      <c r="B86" s="216"/>
      <c r="C86" s="217"/>
      <c r="D86" s="217"/>
      <c r="E86" s="217"/>
      <c r="F86" s="218"/>
      <c r="G86" s="251"/>
      <c r="H86" s="249"/>
      <c r="I86" s="45">
        <f>N9</f>
        <v>3832.3890151941478</v>
      </c>
      <c r="J86" s="32"/>
      <c r="K86" s="32"/>
      <c r="L86" s="32"/>
      <c r="M86" s="45"/>
    </row>
    <row r="87" spans="1:13" ht="20.100000000000001" customHeight="1" x14ac:dyDescent="0.25">
      <c r="A87" s="290"/>
      <c r="B87" s="210" t="s">
        <v>50</v>
      </c>
      <c r="C87" s="211"/>
      <c r="D87" s="211"/>
      <c r="E87" s="211"/>
      <c r="F87" s="212"/>
      <c r="G87" s="251" t="s">
        <v>7</v>
      </c>
      <c r="H87" s="249">
        <v>30</v>
      </c>
      <c r="I87" s="69">
        <v>1</v>
      </c>
      <c r="J87" s="53"/>
      <c r="K87" s="53"/>
      <c r="L87" s="53"/>
      <c r="M87" s="56"/>
    </row>
    <row r="88" spans="1:13" ht="20.100000000000001" customHeight="1" x14ac:dyDescent="0.25">
      <c r="A88" s="290"/>
      <c r="B88" s="216"/>
      <c r="C88" s="217"/>
      <c r="D88" s="217"/>
      <c r="E88" s="217"/>
      <c r="F88" s="218"/>
      <c r="G88" s="251"/>
      <c r="H88" s="249"/>
      <c r="I88" s="45">
        <f>N10</f>
        <v>5109.8520202588643</v>
      </c>
      <c r="J88" s="32"/>
      <c r="K88" s="32"/>
      <c r="L88" s="32"/>
      <c r="M88" s="45"/>
    </row>
    <row r="89" spans="1:13" ht="20.100000000000001" customHeight="1" x14ac:dyDescent="0.25">
      <c r="A89" s="290"/>
      <c r="B89" s="210" t="s">
        <v>25</v>
      </c>
      <c r="C89" s="211"/>
      <c r="D89" s="211"/>
      <c r="E89" s="211"/>
      <c r="F89" s="212"/>
      <c r="G89" s="251" t="s">
        <v>9</v>
      </c>
      <c r="H89" s="249">
        <v>5</v>
      </c>
      <c r="I89" s="69">
        <v>1</v>
      </c>
      <c r="J89" s="53"/>
      <c r="K89" s="53"/>
      <c r="L89" s="53"/>
      <c r="M89" s="56"/>
    </row>
    <row r="90" spans="1:13" ht="20.100000000000001" customHeight="1" x14ac:dyDescent="0.25">
      <c r="A90" s="290"/>
      <c r="B90" s="216"/>
      <c r="C90" s="217"/>
      <c r="D90" s="217"/>
      <c r="E90" s="217"/>
      <c r="F90" s="218"/>
      <c r="G90" s="251"/>
      <c r="H90" s="249"/>
      <c r="I90" s="45">
        <f>N11</f>
        <v>2763.811149400738</v>
      </c>
      <c r="J90" s="32"/>
      <c r="K90" s="32"/>
      <c r="L90" s="32"/>
      <c r="M90" s="45"/>
    </row>
    <row r="91" spans="1:13" ht="20.100000000000001" customHeight="1" x14ac:dyDescent="0.25">
      <c r="A91" s="290"/>
      <c r="B91" s="210" t="s">
        <v>59</v>
      </c>
      <c r="C91" s="211"/>
      <c r="D91" s="211"/>
      <c r="E91" s="211"/>
      <c r="F91" s="212"/>
      <c r="G91" s="251" t="s">
        <v>9</v>
      </c>
      <c r="H91" s="249">
        <v>1500</v>
      </c>
      <c r="I91" s="54"/>
      <c r="J91" s="69">
        <v>1</v>
      </c>
      <c r="K91" s="53"/>
      <c r="L91" s="53"/>
      <c r="M91" s="56"/>
    </row>
    <row r="92" spans="1:13" ht="20.100000000000001" customHeight="1" x14ac:dyDescent="0.25">
      <c r="A92" s="290"/>
      <c r="B92" s="216"/>
      <c r="C92" s="217"/>
      <c r="D92" s="217"/>
      <c r="E92" s="217"/>
      <c r="F92" s="218"/>
      <c r="G92" s="251"/>
      <c r="H92" s="249"/>
      <c r="I92" s="32"/>
      <c r="J92" s="45">
        <f>N12</f>
        <v>13413.361553179519</v>
      </c>
      <c r="K92" s="32"/>
      <c r="L92" s="32"/>
      <c r="M92" s="45"/>
    </row>
    <row r="93" spans="1:13" ht="20.100000000000001" customHeight="1" x14ac:dyDescent="0.25">
      <c r="A93" s="290"/>
      <c r="B93" s="210" t="s">
        <v>69</v>
      </c>
      <c r="C93" s="211"/>
      <c r="D93" s="211"/>
      <c r="E93" s="211"/>
      <c r="F93" s="212"/>
      <c r="G93" s="251" t="s">
        <v>33</v>
      </c>
      <c r="H93" s="295">
        <v>198</v>
      </c>
      <c r="I93" s="69">
        <v>0.5</v>
      </c>
      <c r="J93" s="69">
        <v>0.5</v>
      </c>
      <c r="K93" s="53"/>
      <c r="L93" s="53"/>
      <c r="M93" s="56"/>
    </row>
    <row r="94" spans="1:13" ht="20.100000000000001" customHeight="1" thickBot="1" x14ac:dyDescent="0.3">
      <c r="A94" s="291"/>
      <c r="B94" s="213"/>
      <c r="C94" s="214"/>
      <c r="D94" s="214"/>
      <c r="E94" s="214"/>
      <c r="F94" s="215"/>
      <c r="G94" s="294"/>
      <c r="H94" s="296"/>
      <c r="I94" s="92">
        <f>N13/2</f>
        <v>7533.4423471469509</v>
      </c>
      <c r="J94" s="73">
        <f>N13/2</f>
        <v>7533.4423471469509</v>
      </c>
      <c r="K94" s="72"/>
      <c r="L94" s="72"/>
      <c r="M94" s="73"/>
    </row>
    <row r="95" spans="1:13" ht="24.95" customHeight="1" x14ac:dyDescent="0.25">
      <c r="A95" s="292"/>
      <c r="B95" s="233" t="s">
        <v>84</v>
      </c>
      <c r="C95" s="234"/>
      <c r="D95" s="234"/>
      <c r="E95" s="234"/>
      <c r="F95" s="234"/>
      <c r="G95" s="234"/>
      <c r="H95" s="235"/>
      <c r="I95" s="74">
        <f>I96/M96</f>
        <v>0.47875756868723751</v>
      </c>
      <c r="J95" s="74">
        <f>J96/M96</f>
        <v>0.52124243131276249</v>
      </c>
      <c r="K95" s="75"/>
      <c r="L95" s="75"/>
      <c r="M95" s="76">
        <v>1</v>
      </c>
    </row>
    <row r="96" spans="1:13" ht="24.95" customHeight="1" thickBot="1" x14ac:dyDescent="0.3">
      <c r="A96" s="293"/>
      <c r="B96" s="236"/>
      <c r="C96" s="237"/>
      <c r="D96" s="237"/>
      <c r="E96" s="237"/>
      <c r="F96" s="237"/>
      <c r="G96" s="237"/>
      <c r="H96" s="238"/>
      <c r="I96" s="77">
        <f>I86+I88+I90+I94</f>
        <v>19239.494532000703</v>
      </c>
      <c r="J96" s="77">
        <f>J92+J94</f>
        <v>20946.803900326471</v>
      </c>
      <c r="K96" s="78"/>
      <c r="L96" s="78"/>
      <c r="M96" s="79">
        <f>SUM(I96:L96)</f>
        <v>40186.298432327174</v>
      </c>
    </row>
    <row r="97" spans="1:18" ht="30" customHeight="1" x14ac:dyDescent="0.25">
      <c r="A97" s="17">
        <v>2</v>
      </c>
      <c r="B97" s="139" t="s">
        <v>15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1"/>
    </row>
    <row r="98" spans="1:18" ht="20.100000000000001" customHeight="1" x14ac:dyDescent="0.25">
      <c r="A98" s="290"/>
      <c r="B98" s="210" t="s">
        <v>31</v>
      </c>
      <c r="C98" s="211"/>
      <c r="D98" s="211"/>
      <c r="E98" s="211"/>
      <c r="F98" s="212"/>
      <c r="G98" s="251" t="s">
        <v>6</v>
      </c>
      <c r="H98" s="249">
        <v>600</v>
      </c>
      <c r="I98" s="53"/>
      <c r="J98" s="80">
        <v>0.25</v>
      </c>
      <c r="K98" s="70">
        <v>0.75</v>
      </c>
      <c r="L98" s="70"/>
      <c r="M98" s="81"/>
    </row>
    <row r="99" spans="1:18" ht="20.100000000000001" customHeight="1" x14ac:dyDescent="0.25">
      <c r="A99" s="290"/>
      <c r="B99" s="216"/>
      <c r="C99" s="217"/>
      <c r="D99" s="217"/>
      <c r="E99" s="217"/>
      <c r="F99" s="218"/>
      <c r="G99" s="251"/>
      <c r="H99" s="249"/>
      <c r="I99" s="32"/>
      <c r="J99" s="82">
        <f>N17*0.25</f>
        <v>108757.21026041043</v>
      </c>
      <c r="K99" s="45">
        <f>N17*0.75</f>
        <v>326271.63078123127</v>
      </c>
      <c r="L99" s="45"/>
      <c r="M99" s="83"/>
    </row>
    <row r="100" spans="1:18" ht="20.100000000000001" customHeight="1" x14ac:dyDescent="0.25">
      <c r="A100" s="290"/>
      <c r="B100" s="210" t="s">
        <v>32</v>
      </c>
      <c r="C100" s="211"/>
      <c r="D100" s="211"/>
      <c r="E100" s="211"/>
      <c r="F100" s="212"/>
      <c r="G100" s="251" t="s">
        <v>6</v>
      </c>
      <c r="H100" s="249">
        <v>6</v>
      </c>
      <c r="I100" s="72"/>
      <c r="J100" s="70">
        <v>0.25</v>
      </c>
      <c r="K100" s="70">
        <v>0.75</v>
      </c>
      <c r="L100" s="70"/>
      <c r="M100" s="81"/>
    </row>
    <row r="101" spans="1:18" ht="20.100000000000001" customHeight="1" x14ac:dyDescent="0.25">
      <c r="A101" s="290"/>
      <c r="B101" s="216"/>
      <c r="C101" s="217"/>
      <c r="D101" s="217"/>
      <c r="E101" s="217"/>
      <c r="F101" s="218"/>
      <c r="G101" s="251"/>
      <c r="H101" s="249"/>
      <c r="I101" s="72"/>
      <c r="J101" s="73">
        <f>N18*0.25</f>
        <v>40509.473937898045</v>
      </c>
      <c r="K101" s="73">
        <f>N18*0.75</f>
        <v>121528.42181369413</v>
      </c>
      <c r="L101" s="73"/>
      <c r="M101" s="84"/>
    </row>
    <row r="102" spans="1:18" ht="20.100000000000001" customHeight="1" x14ac:dyDescent="0.25">
      <c r="A102" s="290"/>
      <c r="B102" s="210" t="s">
        <v>85</v>
      </c>
      <c r="C102" s="211"/>
      <c r="D102" s="211"/>
      <c r="E102" s="211"/>
      <c r="F102" s="212"/>
      <c r="G102" s="251" t="s">
        <v>6</v>
      </c>
      <c r="H102" s="249">
        <v>1</v>
      </c>
      <c r="I102" s="53"/>
      <c r="J102" s="85"/>
      <c r="K102" s="70">
        <v>1</v>
      </c>
      <c r="L102" s="70"/>
      <c r="M102" s="81"/>
    </row>
    <row r="103" spans="1:18" ht="20.100000000000001" customHeight="1" x14ac:dyDescent="0.25">
      <c r="A103" s="290"/>
      <c r="B103" s="216"/>
      <c r="C103" s="217"/>
      <c r="D103" s="217"/>
      <c r="E103" s="217"/>
      <c r="F103" s="218"/>
      <c r="G103" s="251"/>
      <c r="H103" s="249"/>
      <c r="I103" s="32"/>
      <c r="J103" s="32"/>
      <c r="K103" s="47">
        <f>N19</f>
        <v>10668.562455620897</v>
      </c>
      <c r="L103" s="86"/>
      <c r="M103" s="83"/>
    </row>
    <row r="104" spans="1:18" ht="20.100000000000001" customHeight="1" x14ac:dyDescent="0.25">
      <c r="A104" s="290"/>
      <c r="B104" s="210" t="s">
        <v>71</v>
      </c>
      <c r="C104" s="211"/>
      <c r="D104" s="211"/>
      <c r="E104" s="211"/>
      <c r="F104" s="212"/>
      <c r="G104" s="251" t="s">
        <v>6</v>
      </c>
      <c r="H104" s="249">
        <v>1</v>
      </c>
      <c r="I104" s="53"/>
      <c r="J104" s="53"/>
      <c r="K104" s="69">
        <f>K102</f>
        <v>1</v>
      </c>
      <c r="L104" s="54"/>
      <c r="M104" s="81"/>
    </row>
    <row r="105" spans="1:18" ht="20.100000000000001" customHeight="1" x14ac:dyDescent="0.25">
      <c r="A105" s="290"/>
      <c r="B105" s="216"/>
      <c r="C105" s="217"/>
      <c r="D105" s="217"/>
      <c r="E105" s="217"/>
      <c r="F105" s="218"/>
      <c r="G105" s="251"/>
      <c r="H105" s="249"/>
      <c r="I105" s="32"/>
      <c r="J105" s="32"/>
      <c r="K105" s="47">
        <f>N20</f>
        <v>3129.4449869821296</v>
      </c>
      <c r="L105" s="32"/>
      <c r="M105" s="83"/>
    </row>
    <row r="106" spans="1:18" ht="20.100000000000001" customHeight="1" x14ac:dyDescent="0.25">
      <c r="A106" s="290"/>
      <c r="B106" s="210" t="s">
        <v>72</v>
      </c>
      <c r="C106" s="211"/>
      <c r="D106" s="211"/>
      <c r="E106" s="211"/>
      <c r="F106" s="212"/>
      <c r="G106" s="251" t="s">
        <v>6</v>
      </c>
      <c r="H106" s="249">
        <v>6</v>
      </c>
      <c r="I106" s="53"/>
      <c r="J106" s="53"/>
      <c r="K106" s="69">
        <f>K102</f>
        <v>1</v>
      </c>
      <c r="L106" s="53"/>
      <c r="M106" s="81"/>
    </row>
    <row r="107" spans="1:18" ht="20.100000000000001" customHeight="1" x14ac:dyDescent="0.25">
      <c r="A107" s="290"/>
      <c r="B107" s="216"/>
      <c r="C107" s="217"/>
      <c r="D107" s="217"/>
      <c r="E107" s="217"/>
      <c r="F107" s="218"/>
      <c r="G107" s="251"/>
      <c r="H107" s="249"/>
      <c r="I107" s="32"/>
      <c r="J107" s="32"/>
      <c r="K107" s="47">
        <f>N21</f>
        <v>10438.121506579486</v>
      </c>
      <c r="L107" s="32"/>
      <c r="M107" s="83"/>
    </row>
    <row r="108" spans="1:18" ht="20.100000000000001" customHeight="1" x14ac:dyDescent="0.25">
      <c r="A108" s="290"/>
      <c r="B108" s="210" t="s">
        <v>35</v>
      </c>
      <c r="C108" s="211"/>
      <c r="D108" s="211"/>
      <c r="E108" s="211"/>
      <c r="F108" s="212"/>
      <c r="G108" s="251" t="s">
        <v>6</v>
      </c>
      <c r="H108" s="249">
        <v>1</v>
      </c>
      <c r="I108" s="53"/>
      <c r="J108" s="53"/>
      <c r="K108" s="69">
        <f>K106</f>
        <v>1</v>
      </c>
      <c r="L108" s="53"/>
      <c r="M108" s="81"/>
    </row>
    <row r="109" spans="1:18" ht="20.100000000000001" customHeight="1" x14ac:dyDescent="0.25">
      <c r="A109" s="290"/>
      <c r="B109" s="216"/>
      <c r="C109" s="217"/>
      <c r="D109" s="217"/>
      <c r="E109" s="217"/>
      <c r="F109" s="218"/>
      <c r="G109" s="251"/>
      <c r="H109" s="249"/>
      <c r="I109" s="32"/>
      <c r="J109" s="32"/>
      <c r="K109" s="47">
        <f>N22</f>
        <v>4978.6624792897519</v>
      </c>
      <c r="L109" s="32"/>
      <c r="M109" s="83"/>
    </row>
    <row r="110" spans="1:18" ht="20.100000000000001" customHeight="1" x14ac:dyDescent="0.25">
      <c r="A110" s="290"/>
      <c r="B110" s="210" t="s">
        <v>63</v>
      </c>
      <c r="C110" s="211"/>
      <c r="D110" s="211"/>
      <c r="E110" s="211"/>
      <c r="F110" s="212"/>
      <c r="G110" s="251" t="s">
        <v>6</v>
      </c>
      <c r="H110" s="249">
        <v>4</v>
      </c>
      <c r="I110" s="53"/>
      <c r="J110" s="53"/>
      <c r="K110" s="69">
        <f>K108</f>
        <v>1</v>
      </c>
      <c r="L110" s="53"/>
      <c r="M110" s="81"/>
      <c r="R110" t="s">
        <v>10</v>
      </c>
    </row>
    <row r="111" spans="1:18" ht="20.100000000000001" customHeight="1" x14ac:dyDescent="0.25">
      <c r="A111" s="290"/>
      <c r="B111" s="216"/>
      <c r="C111" s="217"/>
      <c r="D111" s="217"/>
      <c r="E111" s="217"/>
      <c r="F111" s="218"/>
      <c r="G111" s="251"/>
      <c r="H111" s="249"/>
      <c r="I111" s="32"/>
      <c r="J111" s="32"/>
      <c r="K111" s="47">
        <f>N23</f>
        <v>1035.7829548610516</v>
      </c>
      <c r="L111" s="32"/>
      <c r="M111" s="83"/>
    </row>
    <row r="112" spans="1:18" ht="20.100000000000001" customHeight="1" x14ac:dyDescent="0.25">
      <c r="A112" s="290"/>
      <c r="B112" s="210" t="s">
        <v>11</v>
      </c>
      <c r="C112" s="211"/>
      <c r="D112" s="211"/>
      <c r="E112" s="211"/>
      <c r="F112" s="212"/>
      <c r="G112" s="251" t="s">
        <v>34</v>
      </c>
      <c r="H112" s="249">
        <v>100</v>
      </c>
      <c r="I112" s="53"/>
      <c r="J112" s="53"/>
      <c r="K112" s="69">
        <f>K110</f>
        <v>1</v>
      </c>
      <c r="L112" s="53"/>
      <c r="M112" s="81"/>
    </row>
    <row r="113" spans="1:13" ht="20.100000000000001" customHeight="1" thickBot="1" x14ac:dyDescent="0.3">
      <c r="A113" s="291"/>
      <c r="B113" s="213"/>
      <c r="C113" s="214"/>
      <c r="D113" s="214"/>
      <c r="E113" s="214"/>
      <c r="F113" s="215"/>
      <c r="G113" s="294"/>
      <c r="H113" s="250"/>
      <c r="I113" s="72"/>
      <c r="J113" s="72"/>
      <c r="K113" s="92">
        <f>N24</f>
        <v>1662.2228707315003</v>
      </c>
      <c r="L113" s="72"/>
      <c r="M113" s="84"/>
    </row>
    <row r="114" spans="1:13" ht="24.95" customHeight="1" x14ac:dyDescent="0.25">
      <c r="A114" s="297"/>
      <c r="B114" s="231" t="s">
        <v>86</v>
      </c>
      <c r="C114" s="220"/>
      <c r="D114" s="220"/>
      <c r="E114" s="220"/>
      <c r="F114" s="220"/>
      <c r="G114" s="220"/>
      <c r="H114" s="221"/>
      <c r="I114" s="75"/>
      <c r="J114" s="74">
        <f>J115/M115</f>
        <v>0.23731564561063087</v>
      </c>
      <c r="K114" s="74">
        <f>K115/M115</f>
        <v>0.76268435438936921</v>
      </c>
      <c r="L114" s="74"/>
      <c r="M114" s="87">
        <v>1</v>
      </c>
    </row>
    <row r="115" spans="1:13" ht="24.95" customHeight="1" thickBot="1" x14ac:dyDescent="0.3">
      <c r="A115" s="298"/>
      <c r="B115" s="232"/>
      <c r="C115" s="223"/>
      <c r="D115" s="223"/>
      <c r="E115" s="223"/>
      <c r="F115" s="223"/>
      <c r="G115" s="223"/>
      <c r="H115" s="224"/>
      <c r="I115" s="88"/>
      <c r="J115" s="89">
        <f>J99+J101</f>
        <v>149266.68419830847</v>
      </c>
      <c r="K115" s="89">
        <f>K99+K101+K103+K105+K107+K109+K111+K113</f>
        <v>479712.84984899027</v>
      </c>
      <c r="L115" s="89"/>
      <c r="M115" s="90">
        <f>SUM(J115:L115)</f>
        <v>628979.53404729872</v>
      </c>
    </row>
    <row r="116" spans="1:13" ht="24.95" customHeight="1" thickBot="1" x14ac:dyDescent="0.3">
      <c r="A116" s="183"/>
      <c r="B116" s="184"/>
      <c r="C116" s="184"/>
      <c r="D116" s="184"/>
      <c r="E116" s="184"/>
      <c r="F116" s="184"/>
      <c r="G116" s="184"/>
      <c r="H116" s="184"/>
      <c r="I116" s="185"/>
      <c r="J116" s="186"/>
      <c r="K116" s="186"/>
      <c r="L116" s="186"/>
      <c r="M116" s="186"/>
    </row>
    <row r="117" spans="1:13" ht="20.100000000000001" customHeight="1" x14ac:dyDescent="0.25">
      <c r="A117" s="318" t="s">
        <v>52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20"/>
    </row>
    <row r="118" spans="1:13" ht="20.100000000000001" customHeight="1" thickBot="1" x14ac:dyDescent="0.3">
      <c r="A118" s="321"/>
      <c r="B118" s="322"/>
      <c r="C118" s="322"/>
      <c r="D118" s="322"/>
      <c r="E118" s="322"/>
      <c r="F118" s="322"/>
      <c r="G118" s="322"/>
      <c r="H118" s="322"/>
      <c r="I118" s="322"/>
      <c r="J118" s="322"/>
      <c r="K118" s="322"/>
      <c r="L118" s="322"/>
      <c r="M118" s="323"/>
    </row>
    <row r="119" spans="1:13" ht="20.100000000000001" customHeight="1" x14ac:dyDescent="0.25">
      <c r="A119" s="239" t="s">
        <v>82</v>
      </c>
      <c r="B119" s="241" t="s">
        <v>83</v>
      </c>
      <c r="C119" s="242"/>
      <c r="D119" s="242"/>
      <c r="E119" s="242"/>
      <c r="F119" s="243"/>
      <c r="G119" s="247" t="s">
        <v>58</v>
      </c>
      <c r="H119" s="247" t="s">
        <v>2</v>
      </c>
      <c r="I119" s="205" t="s">
        <v>51</v>
      </c>
      <c r="J119" s="206"/>
      <c r="K119" s="206"/>
      <c r="L119" s="207"/>
      <c r="M119" s="208" t="s">
        <v>53</v>
      </c>
    </row>
    <row r="120" spans="1:13" ht="20.100000000000001" customHeight="1" thickBot="1" x14ac:dyDescent="0.3">
      <c r="A120" s="240"/>
      <c r="B120" s="244"/>
      <c r="C120" s="245"/>
      <c r="D120" s="245"/>
      <c r="E120" s="245"/>
      <c r="F120" s="246"/>
      <c r="G120" s="248"/>
      <c r="H120" s="248"/>
      <c r="I120" s="27">
        <v>30</v>
      </c>
      <c r="J120" s="27">
        <v>60</v>
      </c>
      <c r="K120" s="27">
        <v>90</v>
      </c>
      <c r="L120" s="27">
        <v>120</v>
      </c>
      <c r="M120" s="330"/>
    </row>
    <row r="121" spans="1:13" ht="30" customHeight="1" x14ac:dyDescent="0.25">
      <c r="A121" s="17">
        <v>3</v>
      </c>
      <c r="B121" s="139" t="s">
        <v>37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1"/>
    </row>
    <row r="122" spans="1:13" ht="20.100000000000001" customHeight="1" x14ac:dyDescent="0.25">
      <c r="A122" s="290"/>
      <c r="B122" s="210" t="s">
        <v>73</v>
      </c>
      <c r="C122" s="211"/>
      <c r="D122" s="211"/>
      <c r="E122" s="211"/>
      <c r="F122" s="212"/>
      <c r="G122" s="251" t="s">
        <v>7</v>
      </c>
      <c r="H122" s="249">
        <v>250</v>
      </c>
      <c r="I122" s="52"/>
      <c r="J122" s="70">
        <v>1</v>
      </c>
      <c r="K122" s="52"/>
      <c r="L122" s="52"/>
      <c r="M122" s="81"/>
    </row>
    <row r="123" spans="1:13" ht="20.100000000000001" customHeight="1" x14ac:dyDescent="0.25">
      <c r="A123" s="290"/>
      <c r="B123" s="216"/>
      <c r="C123" s="217"/>
      <c r="D123" s="217"/>
      <c r="E123" s="217"/>
      <c r="F123" s="218"/>
      <c r="G123" s="251"/>
      <c r="H123" s="249"/>
      <c r="I123" s="34"/>
      <c r="J123" s="47">
        <f>N28</f>
        <v>3256.6698527993653</v>
      </c>
      <c r="K123" s="34"/>
      <c r="L123" s="16"/>
      <c r="M123" s="83"/>
    </row>
    <row r="124" spans="1:13" ht="20.100000000000001" customHeight="1" x14ac:dyDescent="0.25">
      <c r="A124" s="290"/>
      <c r="B124" s="210" t="s">
        <v>5</v>
      </c>
      <c r="C124" s="211"/>
      <c r="D124" s="211"/>
      <c r="E124" s="211"/>
      <c r="F124" s="212"/>
      <c r="G124" s="294" t="s">
        <v>7</v>
      </c>
      <c r="H124" s="294">
        <v>200</v>
      </c>
      <c r="I124" s="113" t="s">
        <v>10</v>
      </c>
      <c r="J124" s="70">
        <v>1</v>
      </c>
      <c r="K124" s="113"/>
      <c r="L124" s="113"/>
      <c r="M124" s="81"/>
    </row>
    <row r="125" spans="1:13" ht="20.100000000000001" customHeight="1" x14ac:dyDescent="0.25">
      <c r="A125" s="290"/>
      <c r="B125" s="216"/>
      <c r="C125" s="217"/>
      <c r="D125" s="217"/>
      <c r="E125" s="217"/>
      <c r="F125" s="218"/>
      <c r="G125" s="307"/>
      <c r="H125" s="307"/>
      <c r="I125" s="16"/>
      <c r="J125" s="47">
        <f>N29</f>
        <v>5471.2053527029348</v>
      </c>
      <c r="K125" s="16"/>
      <c r="L125" s="16"/>
      <c r="M125" s="83"/>
    </row>
    <row r="126" spans="1:13" ht="20.100000000000001" customHeight="1" x14ac:dyDescent="0.25">
      <c r="A126" s="290"/>
      <c r="B126" s="210" t="s">
        <v>96</v>
      </c>
      <c r="C126" s="211"/>
      <c r="D126" s="211"/>
      <c r="E126" s="211"/>
      <c r="F126" s="212"/>
      <c r="G126" s="251" t="s">
        <v>7</v>
      </c>
      <c r="H126" s="249">
        <v>1800</v>
      </c>
      <c r="I126" s="52"/>
      <c r="J126" s="70">
        <v>1</v>
      </c>
      <c r="K126" s="52"/>
      <c r="L126" s="118"/>
      <c r="M126" s="81"/>
    </row>
    <row r="127" spans="1:13" ht="20.100000000000001" customHeight="1" x14ac:dyDescent="0.25">
      <c r="A127" s="290"/>
      <c r="B127" s="216"/>
      <c r="C127" s="217"/>
      <c r="D127" s="217"/>
      <c r="E127" s="217"/>
      <c r="F127" s="218"/>
      <c r="G127" s="251"/>
      <c r="H127" s="249"/>
      <c r="I127" s="34"/>
      <c r="J127" s="47">
        <f>N30</f>
        <v>11431.30968227246</v>
      </c>
      <c r="K127" s="34"/>
      <c r="L127" s="119"/>
      <c r="M127" s="83"/>
    </row>
    <row r="128" spans="1:13" ht="20.100000000000001" customHeight="1" x14ac:dyDescent="0.25">
      <c r="A128" s="290"/>
      <c r="B128" s="210" t="s">
        <v>95</v>
      </c>
      <c r="C128" s="211"/>
      <c r="D128" s="211"/>
      <c r="E128" s="211"/>
      <c r="F128" s="212"/>
      <c r="G128" s="251" t="s">
        <v>7</v>
      </c>
      <c r="H128" s="249">
        <v>1800</v>
      </c>
      <c r="I128" s="52"/>
      <c r="J128" s="70">
        <v>1</v>
      </c>
      <c r="K128" s="52"/>
      <c r="L128" s="118"/>
      <c r="M128" s="81"/>
    </row>
    <row r="129" spans="1:13" ht="20.100000000000001" customHeight="1" x14ac:dyDescent="0.25">
      <c r="A129" s="290"/>
      <c r="B129" s="216"/>
      <c r="C129" s="217"/>
      <c r="D129" s="217"/>
      <c r="E129" s="217"/>
      <c r="F129" s="218"/>
      <c r="G129" s="251"/>
      <c r="H129" s="249"/>
      <c r="I129" s="34"/>
      <c r="J129" s="47">
        <f>N31</f>
        <v>11431.30968227246</v>
      </c>
      <c r="K129" s="34"/>
      <c r="L129" s="119"/>
      <c r="M129" s="83"/>
    </row>
    <row r="130" spans="1:13" ht="20.100000000000001" customHeight="1" x14ac:dyDescent="0.25">
      <c r="A130" s="290"/>
      <c r="B130" s="210" t="s">
        <v>97</v>
      </c>
      <c r="C130" s="211"/>
      <c r="D130" s="211"/>
      <c r="E130" s="211"/>
      <c r="F130" s="212"/>
      <c r="G130" s="251" t="s">
        <v>7</v>
      </c>
      <c r="H130" s="249">
        <v>200</v>
      </c>
      <c r="I130" s="52"/>
      <c r="J130" s="70">
        <v>1</v>
      </c>
      <c r="K130" s="52"/>
      <c r="L130" s="118"/>
      <c r="M130" s="81"/>
    </row>
    <row r="131" spans="1:13" ht="20.100000000000001" customHeight="1" x14ac:dyDescent="0.25">
      <c r="A131" s="290"/>
      <c r="B131" s="216"/>
      <c r="C131" s="217"/>
      <c r="D131" s="217"/>
      <c r="E131" s="217"/>
      <c r="F131" s="218"/>
      <c r="G131" s="251"/>
      <c r="H131" s="249"/>
      <c r="I131" s="34"/>
      <c r="J131" s="47">
        <f>N32</f>
        <v>1736.9384774804328</v>
      </c>
      <c r="K131" s="34"/>
      <c r="L131" s="119"/>
      <c r="M131" s="83"/>
    </row>
    <row r="132" spans="1:13" ht="20.100000000000001" customHeight="1" x14ac:dyDescent="0.25">
      <c r="A132" s="290"/>
      <c r="B132" s="210" t="s">
        <v>98</v>
      </c>
      <c r="C132" s="211"/>
      <c r="D132" s="211"/>
      <c r="E132" s="211"/>
      <c r="F132" s="212"/>
      <c r="G132" s="251" t="s">
        <v>7</v>
      </c>
      <c r="H132" s="249">
        <v>180</v>
      </c>
      <c r="I132" s="52"/>
      <c r="J132" s="70">
        <v>1</v>
      </c>
      <c r="K132" s="52"/>
      <c r="L132" s="118"/>
      <c r="M132" s="81"/>
    </row>
    <row r="133" spans="1:13" ht="20.100000000000001" customHeight="1" x14ac:dyDescent="0.25">
      <c r="A133" s="290"/>
      <c r="B133" s="216"/>
      <c r="C133" s="217"/>
      <c r="D133" s="217"/>
      <c r="E133" s="217"/>
      <c r="F133" s="218"/>
      <c r="G133" s="251"/>
      <c r="H133" s="249"/>
      <c r="I133" s="34"/>
      <c r="J133" s="47">
        <f>N33</f>
        <v>2970.6253957746203</v>
      </c>
      <c r="K133" s="34"/>
      <c r="L133" s="119"/>
      <c r="M133" s="83"/>
    </row>
    <row r="134" spans="1:13" ht="20.100000000000001" customHeight="1" x14ac:dyDescent="0.25">
      <c r="A134" s="290"/>
      <c r="B134" s="210" t="s">
        <v>91</v>
      </c>
      <c r="C134" s="211"/>
      <c r="D134" s="211"/>
      <c r="E134" s="211"/>
      <c r="F134" s="212"/>
      <c r="G134" s="251" t="s">
        <v>7</v>
      </c>
      <c r="H134" s="249">
        <v>704</v>
      </c>
      <c r="I134" s="52"/>
      <c r="J134" s="70">
        <v>1</v>
      </c>
      <c r="K134" s="52"/>
      <c r="L134" s="118"/>
      <c r="M134" s="81"/>
    </row>
    <row r="135" spans="1:13" ht="20.100000000000001" customHeight="1" x14ac:dyDescent="0.25">
      <c r="A135" s="290"/>
      <c r="B135" s="216"/>
      <c r="C135" s="217"/>
      <c r="D135" s="217"/>
      <c r="E135" s="217"/>
      <c r="F135" s="218"/>
      <c r="G135" s="251"/>
      <c r="H135" s="249"/>
      <c r="I135" s="34"/>
      <c r="J135" s="47">
        <f>N34</f>
        <v>71988.001568880121</v>
      </c>
      <c r="K135" s="34"/>
      <c r="L135" s="119"/>
      <c r="M135" s="83"/>
    </row>
    <row r="136" spans="1:13" ht="20.100000000000001" customHeight="1" x14ac:dyDescent="0.25">
      <c r="A136" s="290"/>
      <c r="B136" s="210" t="s">
        <v>99</v>
      </c>
      <c r="C136" s="211"/>
      <c r="D136" s="211"/>
      <c r="E136" s="211"/>
      <c r="F136" s="212"/>
      <c r="G136" s="251" t="s">
        <v>7</v>
      </c>
      <c r="H136" s="249">
        <v>400</v>
      </c>
      <c r="I136" s="52"/>
      <c r="J136" s="70">
        <v>1</v>
      </c>
      <c r="K136" s="52"/>
      <c r="L136" s="118"/>
      <c r="M136" s="81"/>
    </row>
    <row r="137" spans="1:13" ht="20.100000000000001" customHeight="1" x14ac:dyDescent="0.25">
      <c r="A137" s="290"/>
      <c r="B137" s="216"/>
      <c r="C137" s="217"/>
      <c r="D137" s="217"/>
      <c r="E137" s="217"/>
      <c r="F137" s="218"/>
      <c r="G137" s="251"/>
      <c r="H137" s="249"/>
      <c r="I137" s="34"/>
      <c r="J137" s="47">
        <f>N35</f>
        <v>4962.1017851148481</v>
      </c>
      <c r="K137" s="34"/>
      <c r="L137" s="119"/>
      <c r="M137" s="83"/>
    </row>
    <row r="138" spans="1:13" ht="20.100000000000001" customHeight="1" x14ac:dyDescent="0.25">
      <c r="A138" s="291"/>
      <c r="B138" s="210" t="s">
        <v>3</v>
      </c>
      <c r="C138" s="211"/>
      <c r="D138" s="211"/>
      <c r="E138" s="211"/>
      <c r="F138" s="212"/>
      <c r="G138" s="294" t="s">
        <v>6</v>
      </c>
      <c r="H138" s="294">
        <v>48</v>
      </c>
      <c r="I138" s="52"/>
      <c r="J138" s="70">
        <v>1</v>
      </c>
      <c r="K138" s="52"/>
      <c r="L138" s="118"/>
      <c r="M138" s="81"/>
    </row>
    <row r="139" spans="1:13" ht="20.100000000000001" customHeight="1" x14ac:dyDescent="0.25">
      <c r="A139" s="312"/>
      <c r="B139" s="216"/>
      <c r="C139" s="217"/>
      <c r="D139" s="217"/>
      <c r="E139" s="217"/>
      <c r="F139" s="218"/>
      <c r="G139" s="307"/>
      <c r="H139" s="307"/>
      <c r="I139" s="34"/>
      <c r="J139" s="47">
        <f>N36</f>
        <v>16889.761827198803</v>
      </c>
      <c r="K139" s="34"/>
      <c r="L139" s="119"/>
      <c r="M139" s="83"/>
    </row>
    <row r="140" spans="1:13" ht="20.100000000000001" customHeight="1" x14ac:dyDescent="0.25">
      <c r="A140" s="290"/>
      <c r="B140" s="210" t="s">
        <v>4</v>
      </c>
      <c r="C140" s="211"/>
      <c r="D140" s="211"/>
      <c r="E140" s="211"/>
      <c r="F140" s="212"/>
      <c r="G140" s="251" t="s">
        <v>6</v>
      </c>
      <c r="H140" s="249">
        <v>48</v>
      </c>
      <c r="I140" s="52"/>
      <c r="J140" s="70">
        <v>1</v>
      </c>
      <c r="K140" s="91"/>
      <c r="L140" s="113"/>
      <c r="M140" s="81"/>
    </row>
    <row r="141" spans="1:13" ht="20.100000000000001" customHeight="1" thickBot="1" x14ac:dyDescent="0.3">
      <c r="A141" s="291"/>
      <c r="B141" s="213"/>
      <c r="C141" s="214"/>
      <c r="D141" s="214"/>
      <c r="E141" s="214"/>
      <c r="F141" s="215"/>
      <c r="G141" s="294"/>
      <c r="H141" s="250"/>
      <c r="I141" s="91"/>
      <c r="J141" s="92">
        <f>N37</f>
        <v>274.47425885002713</v>
      </c>
      <c r="K141" s="91"/>
      <c r="L141" s="187"/>
      <c r="M141" s="84"/>
    </row>
    <row r="142" spans="1:13" ht="24.95" customHeight="1" x14ac:dyDescent="0.25">
      <c r="A142" s="292"/>
      <c r="B142" s="219" t="s">
        <v>87</v>
      </c>
      <c r="C142" s="220"/>
      <c r="D142" s="220"/>
      <c r="E142" s="220"/>
      <c r="F142" s="220"/>
      <c r="G142" s="220"/>
      <c r="H142" s="221"/>
      <c r="I142" s="93"/>
      <c r="J142" s="123">
        <f>J140</f>
        <v>1</v>
      </c>
      <c r="K142" s="93"/>
      <c r="L142" s="93"/>
      <c r="M142" s="94"/>
    </row>
    <row r="143" spans="1:13" ht="24.95" customHeight="1" thickBot="1" x14ac:dyDescent="0.3">
      <c r="A143" s="293"/>
      <c r="B143" s="222"/>
      <c r="C143" s="223"/>
      <c r="D143" s="223"/>
      <c r="E143" s="223"/>
      <c r="F143" s="223"/>
      <c r="G143" s="223"/>
      <c r="H143" s="224"/>
      <c r="I143" s="95"/>
      <c r="J143" s="114">
        <f>J123+J125+J127+J129+J131+J133+J135+J137+J139+J141</f>
        <v>130412.39788334607</v>
      </c>
      <c r="K143" s="95"/>
      <c r="L143" s="114"/>
      <c r="M143" s="90">
        <f>SUM(I143:L143)</f>
        <v>130412.39788334607</v>
      </c>
    </row>
    <row r="144" spans="1:13" ht="30" customHeight="1" x14ac:dyDescent="0.25">
      <c r="A144" s="21">
        <v>4</v>
      </c>
      <c r="B144" s="139" t="s">
        <v>23</v>
      </c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1"/>
    </row>
    <row r="145" spans="1:13" ht="20.100000000000001" customHeight="1" x14ac:dyDescent="0.25">
      <c r="A145" s="290"/>
      <c r="B145" s="210" t="s">
        <v>81</v>
      </c>
      <c r="C145" s="211"/>
      <c r="D145" s="211"/>
      <c r="E145" s="211"/>
      <c r="F145" s="212"/>
      <c r="G145" s="251" t="s">
        <v>33</v>
      </c>
      <c r="H145" s="295">
        <v>198</v>
      </c>
      <c r="I145" s="69">
        <v>0.5</v>
      </c>
      <c r="J145" s="69">
        <v>0.5</v>
      </c>
      <c r="K145" s="70"/>
      <c r="L145" s="70"/>
      <c r="M145" s="81"/>
    </row>
    <row r="146" spans="1:13" ht="20.100000000000001" customHeight="1" x14ac:dyDescent="0.25">
      <c r="A146" s="290"/>
      <c r="B146" s="216"/>
      <c r="C146" s="217"/>
      <c r="D146" s="217"/>
      <c r="E146" s="217"/>
      <c r="F146" s="218"/>
      <c r="G146" s="251" t="s">
        <v>33</v>
      </c>
      <c r="H146" s="295">
        <v>198</v>
      </c>
      <c r="I146" s="47">
        <f>N45/2</f>
        <v>154907.52685561543</v>
      </c>
      <c r="J146" s="47">
        <f>N45/2</f>
        <v>154907.52685561543</v>
      </c>
      <c r="K146" s="47"/>
      <c r="L146" s="46"/>
      <c r="M146" s="83"/>
    </row>
    <row r="147" spans="1:13" ht="20.100000000000001" customHeight="1" x14ac:dyDescent="0.25">
      <c r="A147" s="290"/>
      <c r="B147" s="210" t="s">
        <v>75</v>
      </c>
      <c r="C147" s="211"/>
      <c r="D147" s="211"/>
      <c r="E147" s="211"/>
      <c r="F147" s="212"/>
      <c r="G147" s="251" t="s">
        <v>9</v>
      </c>
      <c r="H147" s="249">
        <v>1320</v>
      </c>
      <c r="I147" s="53"/>
      <c r="J147" s="70">
        <v>1</v>
      </c>
      <c r="K147" s="96"/>
      <c r="L147" s="70"/>
      <c r="M147" s="81"/>
    </row>
    <row r="148" spans="1:13" ht="20.100000000000001" customHeight="1" x14ac:dyDescent="0.25">
      <c r="A148" s="290"/>
      <c r="B148" s="216"/>
      <c r="C148" s="217"/>
      <c r="D148" s="217"/>
      <c r="E148" s="217"/>
      <c r="F148" s="218"/>
      <c r="G148" s="251" t="s">
        <v>9</v>
      </c>
      <c r="H148" s="249">
        <v>1320</v>
      </c>
      <c r="I148" s="32"/>
      <c r="J148" s="47">
        <f>N46</f>
        <v>46002.841308637311</v>
      </c>
      <c r="K148" s="115"/>
      <c r="L148" s="47"/>
      <c r="M148" s="83"/>
    </row>
    <row r="149" spans="1:13" ht="20.100000000000001" customHeight="1" x14ac:dyDescent="0.25">
      <c r="A149" s="290"/>
      <c r="B149" s="210" t="s">
        <v>38</v>
      </c>
      <c r="C149" s="211"/>
      <c r="D149" s="211"/>
      <c r="E149" s="211"/>
      <c r="F149" s="212"/>
      <c r="G149" s="294" t="s">
        <v>6</v>
      </c>
      <c r="H149" s="303">
        <v>320</v>
      </c>
      <c r="I149" s="53"/>
      <c r="J149" s="69">
        <f>J147</f>
        <v>1</v>
      </c>
      <c r="K149" s="116"/>
      <c r="L149" s="70"/>
      <c r="M149" s="81"/>
    </row>
    <row r="150" spans="1:13" ht="20.100000000000001" customHeight="1" x14ac:dyDescent="0.25">
      <c r="A150" s="290"/>
      <c r="B150" s="216"/>
      <c r="C150" s="217"/>
      <c r="D150" s="217"/>
      <c r="E150" s="217"/>
      <c r="F150" s="218"/>
      <c r="G150" s="307" t="s">
        <v>6</v>
      </c>
      <c r="H150" s="307">
        <v>320</v>
      </c>
      <c r="I150" s="32"/>
      <c r="J150" s="47">
        <f>N47</f>
        <v>3734.3436578234978</v>
      </c>
      <c r="K150" s="115"/>
      <c r="L150" s="47"/>
      <c r="M150" s="83"/>
    </row>
    <row r="151" spans="1:13" ht="20.100000000000001" customHeight="1" x14ac:dyDescent="0.25">
      <c r="A151" s="290"/>
      <c r="B151" s="210" t="s">
        <v>36</v>
      </c>
      <c r="C151" s="211"/>
      <c r="D151" s="211"/>
      <c r="E151" s="211"/>
      <c r="F151" s="212"/>
      <c r="G151" s="251" t="s">
        <v>7</v>
      </c>
      <c r="H151" s="249">
        <v>1320</v>
      </c>
      <c r="I151" s="53"/>
      <c r="J151" s="69">
        <f>J149</f>
        <v>1</v>
      </c>
      <c r="K151" s="116"/>
      <c r="L151" s="70"/>
      <c r="M151" s="81"/>
    </row>
    <row r="152" spans="1:13" ht="20.100000000000001" customHeight="1" x14ac:dyDescent="0.25">
      <c r="A152" s="290"/>
      <c r="B152" s="216"/>
      <c r="C152" s="217"/>
      <c r="D152" s="217"/>
      <c r="E152" s="217"/>
      <c r="F152" s="218"/>
      <c r="G152" s="251" t="s">
        <v>7</v>
      </c>
      <c r="H152" s="249">
        <v>1320</v>
      </c>
      <c r="I152" s="32"/>
      <c r="J152" s="47">
        <f>N48</f>
        <v>32577.522314483977</v>
      </c>
      <c r="K152" s="115"/>
      <c r="L152" s="47"/>
      <c r="M152" s="83"/>
    </row>
    <row r="153" spans="1:13" ht="20.100000000000001" customHeight="1" x14ac:dyDescent="0.25">
      <c r="A153" s="290"/>
      <c r="B153" s="210" t="s">
        <v>36</v>
      </c>
      <c r="C153" s="211"/>
      <c r="D153" s="211"/>
      <c r="E153" s="211"/>
      <c r="F153" s="212"/>
      <c r="G153" s="251" t="s">
        <v>6</v>
      </c>
      <c r="H153" s="249">
        <v>1080</v>
      </c>
      <c r="I153" s="53"/>
      <c r="J153" s="69">
        <f>J151</f>
        <v>1</v>
      </c>
      <c r="K153" s="116"/>
      <c r="L153" s="70"/>
      <c r="M153" s="81"/>
    </row>
    <row r="154" spans="1:13" ht="20.100000000000001" customHeight="1" x14ac:dyDescent="0.25">
      <c r="A154" s="291"/>
      <c r="B154" s="216"/>
      <c r="C154" s="217"/>
      <c r="D154" s="217"/>
      <c r="E154" s="217"/>
      <c r="F154" s="218"/>
      <c r="G154" s="294" t="s">
        <v>7</v>
      </c>
      <c r="H154" s="250">
        <v>1320</v>
      </c>
      <c r="I154" s="32"/>
      <c r="J154" s="47">
        <f>N50</f>
        <v>4663.2616427070934</v>
      </c>
      <c r="K154" s="115"/>
      <c r="L154" s="47"/>
      <c r="M154" s="84"/>
    </row>
    <row r="155" spans="1:13" ht="20.100000000000001" customHeight="1" x14ac:dyDescent="0.25">
      <c r="A155" s="305"/>
      <c r="B155" s="210" t="s">
        <v>92</v>
      </c>
      <c r="C155" s="211"/>
      <c r="D155" s="211"/>
      <c r="E155" s="211"/>
      <c r="F155" s="212"/>
      <c r="G155" s="294" t="s">
        <v>6</v>
      </c>
      <c r="H155" s="294">
        <v>240</v>
      </c>
      <c r="I155" s="53"/>
      <c r="J155" s="69">
        <f>J153</f>
        <v>1</v>
      </c>
      <c r="K155" s="116"/>
      <c r="L155" s="54"/>
      <c r="M155" s="81"/>
    </row>
    <row r="156" spans="1:13" ht="20.100000000000001" customHeight="1" x14ac:dyDescent="0.25">
      <c r="A156" s="306"/>
      <c r="B156" s="216"/>
      <c r="C156" s="217"/>
      <c r="D156" s="217"/>
      <c r="E156" s="217"/>
      <c r="F156" s="218"/>
      <c r="G156" s="307"/>
      <c r="H156" s="307"/>
      <c r="I156" s="32"/>
      <c r="J156" s="47">
        <f>N49</f>
        <v>1036.2803650460207</v>
      </c>
      <c r="K156" s="115"/>
      <c r="L156" s="47"/>
      <c r="M156" s="83"/>
    </row>
    <row r="157" spans="1:13" ht="20.100000000000001" customHeight="1" x14ac:dyDescent="0.25">
      <c r="A157" s="313"/>
      <c r="B157" s="210" t="s">
        <v>93</v>
      </c>
      <c r="C157" s="211"/>
      <c r="D157" s="211"/>
      <c r="E157" s="211"/>
      <c r="F157" s="212"/>
      <c r="G157" s="294" t="s">
        <v>6</v>
      </c>
      <c r="H157" s="294">
        <v>400</v>
      </c>
      <c r="I157" s="53"/>
      <c r="J157" s="69">
        <f>J155</f>
        <v>1</v>
      </c>
      <c r="K157" s="116"/>
      <c r="L157" s="54"/>
      <c r="M157" s="81"/>
    </row>
    <row r="158" spans="1:13" ht="20.100000000000001" customHeight="1" thickBot="1" x14ac:dyDescent="0.3">
      <c r="A158" s="314"/>
      <c r="B158" s="213"/>
      <c r="C158" s="214"/>
      <c r="D158" s="214"/>
      <c r="E158" s="214"/>
      <c r="F158" s="215"/>
      <c r="G158" s="303"/>
      <c r="H158" s="303"/>
      <c r="I158" s="125"/>
      <c r="J158" s="92">
        <f>N51</f>
        <v>1563.7564067135897</v>
      </c>
      <c r="K158" s="1"/>
      <c r="L158" s="92"/>
      <c r="M158" s="84"/>
    </row>
    <row r="159" spans="1:13" ht="24.95" customHeight="1" x14ac:dyDescent="0.25">
      <c r="A159" s="292"/>
      <c r="B159" s="219" t="s">
        <v>88</v>
      </c>
      <c r="C159" s="220"/>
      <c r="D159" s="220"/>
      <c r="E159" s="220"/>
      <c r="F159" s="220"/>
      <c r="G159" s="220"/>
      <c r="H159" s="221"/>
      <c r="I159" s="74">
        <f>I160/M160</f>
        <v>0.38785733303867009</v>
      </c>
      <c r="J159" s="74">
        <f>J160/M160</f>
        <v>0.61214266696132991</v>
      </c>
      <c r="K159" s="74"/>
      <c r="L159" s="74"/>
      <c r="M159" s="94"/>
    </row>
    <row r="160" spans="1:13" ht="24.95" customHeight="1" thickBot="1" x14ac:dyDescent="0.3">
      <c r="A160" s="293"/>
      <c r="B160" s="222"/>
      <c r="C160" s="223"/>
      <c r="D160" s="223"/>
      <c r="E160" s="223"/>
      <c r="F160" s="223"/>
      <c r="G160" s="223"/>
      <c r="H160" s="224"/>
      <c r="I160" s="120">
        <f>I146</f>
        <v>154907.52685561543</v>
      </c>
      <c r="J160" s="120">
        <f>J146+J148+J150+J152+J154+J156+J158</f>
        <v>244485.53255102693</v>
      </c>
      <c r="K160" s="89">
        <f>SUM(K146:K154)</f>
        <v>0</v>
      </c>
      <c r="L160" s="89">
        <f>L146+L148+L150+L152+L154</f>
        <v>0</v>
      </c>
      <c r="M160" s="90">
        <f>SUM(I160:L160)</f>
        <v>399393.05940664234</v>
      </c>
    </row>
    <row r="161" spans="1:14" ht="24.95" customHeight="1" thickBot="1" x14ac:dyDescent="0.3">
      <c r="A161" s="183"/>
      <c r="B161" s="185"/>
      <c r="C161" s="185"/>
      <c r="D161" s="185"/>
      <c r="E161" s="185"/>
      <c r="F161" s="185"/>
      <c r="G161" s="185"/>
      <c r="H161" s="185"/>
      <c r="I161" s="194"/>
      <c r="J161" s="194"/>
      <c r="K161" s="186"/>
      <c r="L161" s="186"/>
      <c r="M161" s="186"/>
      <c r="N161" s="195"/>
    </row>
    <row r="162" spans="1:14" ht="24.95" customHeight="1" x14ac:dyDescent="0.25">
      <c r="A162" s="318" t="s">
        <v>52</v>
      </c>
      <c r="B162" s="319"/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20"/>
      <c r="N162" s="195"/>
    </row>
    <row r="163" spans="1:14" ht="24.95" customHeight="1" thickBot="1" x14ac:dyDescent="0.3">
      <c r="A163" s="321"/>
      <c r="B163" s="322"/>
      <c r="C163" s="322"/>
      <c r="D163" s="322"/>
      <c r="E163" s="322"/>
      <c r="F163" s="322"/>
      <c r="G163" s="322"/>
      <c r="H163" s="322"/>
      <c r="I163" s="322"/>
      <c r="J163" s="322"/>
      <c r="K163" s="322"/>
      <c r="L163" s="322"/>
      <c r="M163" s="323"/>
      <c r="N163" s="195"/>
    </row>
    <row r="164" spans="1:14" ht="24.95" customHeight="1" x14ac:dyDescent="0.25">
      <c r="A164" s="239" t="s">
        <v>82</v>
      </c>
      <c r="B164" s="241" t="s">
        <v>83</v>
      </c>
      <c r="C164" s="242"/>
      <c r="D164" s="242"/>
      <c r="E164" s="242"/>
      <c r="F164" s="243"/>
      <c r="G164" s="247" t="s">
        <v>58</v>
      </c>
      <c r="H164" s="247" t="s">
        <v>2</v>
      </c>
      <c r="I164" s="205" t="s">
        <v>51</v>
      </c>
      <c r="J164" s="206"/>
      <c r="K164" s="206"/>
      <c r="L164" s="207"/>
      <c r="M164" s="208" t="s">
        <v>53</v>
      </c>
      <c r="N164" s="195"/>
    </row>
    <row r="165" spans="1:14" ht="20.100000000000001" customHeight="1" thickBot="1" x14ac:dyDescent="0.3">
      <c r="A165" s="240"/>
      <c r="B165" s="244"/>
      <c r="C165" s="245"/>
      <c r="D165" s="245"/>
      <c r="E165" s="245"/>
      <c r="F165" s="246"/>
      <c r="G165" s="248"/>
      <c r="H165" s="248"/>
      <c r="I165" s="27">
        <v>30</v>
      </c>
      <c r="J165" s="27">
        <v>60</v>
      </c>
      <c r="K165" s="27">
        <v>90</v>
      </c>
      <c r="L165" s="27">
        <v>120</v>
      </c>
      <c r="M165" s="209"/>
    </row>
    <row r="166" spans="1:14" ht="30" customHeight="1" x14ac:dyDescent="0.25">
      <c r="A166" s="196">
        <v>5</v>
      </c>
      <c r="B166" s="197" t="s">
        <v>20</v>
      </c>
      <c r="C166" s="198"/>
      <c r="D166" s="198"/>
      <c r="E166" s="198"/>
      <c r="F166" s="199"/>
      <c r="G166" s="200"/>
      <c r="H166" s="201"/>
      <c r="I166" s="202"/>
      <c r="J166" s="202"/>
      <c r="K166" s="202"/>
      <c r="L166" s="202"/>
      <c r="M166" s="203"/>
    </row>
    <row r="167" spans="1:14" ht="20.100000000000001" customHeight="1" x14ac:dyDescent="0.25">
      <c r="A167" s="290"/>
      <c r="B167" s="210" t="s">
        <v>19</v>
      </c>
      <c r="C167" s="211"/>
      <c r="D167" s="211"/>
      <c r="E167" s="211"/>
      <c r="F167" s="212"/>
      <c r="G167" s="251" t="s">
        <v>8</v>
      </c>
      <c r="H167" s="249">
        <v>20</v>
      </c>
      <c r="I167" s="52"/>
      <c r="J167" s="69">
        <f>J157</f>
        <v>1</v>
      </c>
      <c r="K167" s="53"/>
      <c r="L167" s="70"/>
      <c r="M167" s="97"/>
    </row>
    <row r="168" spans="1:14" ht="20.100000000000001" customHeight="1" x14ac:dyDescent="0.25">
      <c r="A168" s="290"/>
      <c r="B168" s="216"/>
      <c r="C168" s="217"/>
      <c r="D168" s="217"/>
      <c r="E168" s="217"/>
      <c r="F168" s="218"/>
      <c r="G168" s="251" t="s">
        <v>8</v>
      </c>
      <c r="H168" s="249">
        <v>20</v>
      </c>
      <c r="I168" s="34"/>
      <c r="J168" s="103">
        <f>N55</f>
        <v>8285.5749907958852</v>
      </c>
      <c r="K168" s="47"/>
      <c r="L168" s="47"/>
      <c r="M168" s="98"/>
    </row>
    <row r="169" spans="1:14" ht="20.100000000000001" customHeight="1" x14ac:dyDescent="0.25">
      <c r="A169" s="290"/>
      <c r="B169" s="210" t="s">
        <v>80</v>
      </c>
      <c r="C169" s="211"/>
      <c r="D169" s="211"/>
      <c r="E169" s="211"/>
      <c r="F169" s="212"/>
      <c r="G169" s="294" t="s">
        <v>8</v>
      </c>
      <c r="H169" s="294">
        <f t="shared" ref="H169:H170" si="37">H168</f>
        <v>20</v>
      </c>
      <c r="I169" s="52"/>
      <c r="J169" s="69">
        <f>J167</f>
        <v>1</v>
      </c>
      <c r="K169" s="53"/>
      <c r="L169" s="70"/>
      <c r="M169" s="97"/>
    </row>
    <row r="170" spans="1:14" ht="20.100000000000001" customHeight="1" x14ac:dyDescent="0.25">
      <c r="A170" s="290"/>
      <c r="B170" s="216"/>
      <c r="C170" s="217"/>
      <c r="D170" s="217"/>
      <c r="E170" s="217"/>
      <c r="F170" s="218"/>
      <c r="G170" s="307" t="s">
        <v>8</v>
      </c>
      <c r="H170" s="307">
        <f t="shared" si="37"/>
        <v>20</v>
      </c>
      <c r="I170" s="34"/>
      <c r="J170" s="103">
        <f>N56</f>
        <v>15329.556060776591</v>
      </c>
      <c r="K170" s="47"/>
      <c r="L170" s="47"/>
      <c r="M170" s="98"/>
    </row>
    <row r="171" spans="1:14" ht="20.100000000000001" customHeight="1" x14ac:dyDescent="0.25">
      <c r="A171" s="309"/>
      <c r="B171" s="210" t="s">
        <v>65</v>
      </c>
      <c r="C171" s="211"/>
      <c r="D171" s="211"/>
      <c r="E171" s="211"/>
      <c r="F171" s="212"/>
      <c r="G171" s="251" t="s">
        <v>7</v>
      </c>
      <c r="H171" s="249">
        <v>90</v>
      </c>
      <c r="I171" s="52"/>
      <c r="J171" s="52"/>
      <c r="K171" s="69">
        <f>J169</f>
        <v>1</v>
      </c>
      <c r="L171" s="54"/>
      <c r="M171" s="97"/>
    </row>
    <row r="172" spans="1:14" ht="20.100000000000001" customHeight="1" x14ac:dyDescent="0.25">
      <c r="A172" s="309"/>
      <c r="B172" s="216"/>
      <c r="C172" s="217"/>
      <c r="D172" s="217"/>
      <c r="E172" s="217"/>
      <c r="F172" s="218"/>
      <c r="G172" s="251" t="s">
        <v>7</v>
      </c>
      <c r="H172" s="249">
        <v>90</v>
      </c>
      <c r="I172" s="34"/>
      <c r="J172" s="34"/>
      <c r="K172" s="47">
        <f>N57</f>
        <v>10503</v>
      </c>
      <c r="L172" s="47"/>
      <c r="M172" s="98"/>
    </row>
    <row r="173" spans="1:14" ht="20.100000000000001" customHeight="1" x14ac:dyDescent="0.25">
      <c r="A173" s="309"/>
      <c r="B173" s="210" t="s">
        <v>48</v>
      </c>
      <c r="C173" s="211"/>
      <c r="D173" s="211"/>
      <c r="E173" s="211"/>
      <c r="F173" s="212"/>
      <c r="G173" s="251" t="s">
        <v>6</v>
      </c>
      <c r="H173" s="331">
        <v>5</v>
      </c>
      <c r="I173" s="52"/>
      <c r="J173" s="52"/>
      <c r="K173" s="69">
        <f>K171</f>
        <v>1</v>
      </c>
      <c r="L173" s="53"/>
      <c r="M173" s="97"/>
    </row>
    <row r="174" spans="1:14" ht="20.100000000000001" customHeight="1" x14ac:dyDescent="0.25">
      <c r="A174" s="305"/>
      <c r="B174" s="216"/>
      <c r="C174" s="217"/>
      <c r="D174" s="217"/>
      <c r="E174" s="217"/>
      <c r="F174" s="218"/>
      <c r="G174" s="294" t="s">
        <v>6</v>
      </c>
      <c r="H174" s="332">
        <v>5</v>
      </c>
      <c r="I174" s="34"/>
      <c r="J174" s="91"/>
      <c r="K174" s="92">
        <f>N58</f>
        <v>9627.75</v>
      </c>
      <c r="L174" s="92"/>
      <c r="M174" s="98"/>
    </row>
    <row r="175" spans="1:14" ht="20.100000000000001" customHeight="1" x14ac:dyDescent="0.25">
      <c r="A175" s="99"/>
      <c r="B175" s="210" t="s">
        <v>104</v>
      </c>
      <c r="C175" s="211"/>
      <c r="D175" s="211"/>
      <c r="E175" s="211"/>
      <c r="F175" s="212"/>
      <c r="G175" s="71"/>
      <c r="H175" s="126"/>
      <c r="I175" s="91"/>
      <c r="J175" s="129"/>
      <c r="K175" s="54"/>
      <c r="L175" s="130"/>
      <c r="M175" s="180"/>
    </row>
    <row r="176" spans="1:14" ht="20.100000000000001" customHeight="1" thickBot="1" x14ac:dyDescent="0.3">
      <c r="A176" s="131"/>
      <c r="B176" s="213"/>
      <c r="C176" s="214"/>
      <c r="D176" s="214"/>
      <c r="E176" s="214"/>
      <c r="F176" s="215"/>
      <c r="G176" s="125" t="s">
        <v>9</v>
      </c>
      <c r="H176" s="132">
        <v>8.4179999999999993</v>
      </c>
      <c r="I176" s="91"/>
      <c r="J176" s="127"/>
      <c r="K176" s="73">
        <v>11788.5672</v>
      </c>
      <c r="L176" s="128"/>
      <c r="M176" s="181"/>
    </row>
    <row r="177" spans="1:14" ht="24.95" customHeight="1" x14ac:dyDescent="0.25">
      <c r="A177" s="292"/>
      <c r="B177" s="219" t="s">
        <v>89</v>
      </c>
      <c r="C177" s="220"/>
      <c r="D177" s="220"/>
      <c r="E177" s="220"/>
      <c r="F177" s="220"/>
      <c r="G177" s="220"/>
      <c r="H177" s="221"/>
      <c r="I177" s="93"/>
      <c r="J177" s="74">
        <f>J178/M178</f>
        <v>0.42523391867684229</v>
      </c>
      <c r="K177" s="74">
        <f>K178/M178</f>
        <v>0.57476608132315765</v>
      </c>
      <c r="L177" s="74"/>
      <c r="M177" s="87"/>
    </row>
    <row r="178" spans="1:14" ht="24.95" customHeight="1" thickBot="1" x14ac:dyDescent="0.3">
      <c r="A178" s="293"/>
      <c r="B178" s="222"/>
      <c r="C178" s="223"/>
      <c r="D178" s="223"/>
      <c r="E178" s="223"/>
      <c r="F178" s="223"/>
      <c r="G178" s="223"/>
      <c r="H178" s="224"/>
      <c r="I178" s="95"/>
      <c r="J178" s="114">
        <f>J168+J170</f>
        <v>23615.131051572476</v>
      </c>
      <c r="K178" s="114">
        <f>K172+K174+K176</f>
        <v>31919.317199999998</v>
      </c>
      <c r="L178" s="101"/>
      <c r="M178" s="102">
        <f>SUM(I178:L178)</f>
        <v>55534.448251572474</v>
      </c>
    </row>
    <row r="179" spans="1:14" ht="30" customHeight="1" x14ac:dyDescent="0.25">
      <c r="A179" s="19">
        <v>6</v>
      </c>
      <c r="B179" s="139" t="s">
        <v>27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2"/>
    </row>
    <row r="180" spans="1:14" ht="20.100000000000001" customHeight="1" x14ac:dyDescent="0.25">
      <c r="A180" s="309"/>
      <c r="B180" s="210" t="s">
        <v>14</v>
      </c>
      <c r="C180" s="211"/>
      <c r="D180" s="211"/>
      <c r="E180" s="211"/>
      <c r="F180" s="212"/>
      <c r="G180" s="251" t="s">
        <v>6</v>
      </c>
      <c r="H180" s="301">
        <v>6</v>
      </c>
      <c r="I180" s="52"/>
      <c r="J180" s="52"/>
      <c r="K180" s="52"/>
      <c r="L180" s="69">
        <v>1</v>
      </c>
      <c r="M180" s="97"/>
    </row>
    <row r="181" spans="1:14" ht="20.100000000000001" customHeight="1" x14ac:dyDescent="0.25">
      <c r="A181" s="309"/>
      <c r="B181" s="216"/>
      <c r="C181" s="217"/>
      <c r="D181" s="217"/>
      <c r="E181" s="217"/>
      <c r="F181" s="218"/>
      <c r="G181" s="251"/>
      <c r="H181" s="301"/>
      <c r="I181" s="34"/>
      <c r="J181" s="34"/>
      <c r="K181" s="34"/>
      <c r="L181" s="103">
        <f>N63</f>
        <v>6515.0613258300518</v>
      </c>
      <c r="M181" s="98"/>
    </row>
    <row r="182" spans="1:14" ht="20.100000000000001" customHeight="1" x14ac:dyDescent="0.25">
      <c r="A182" s="309"/>
      <c r="B182" s="210" t="s">
        <v>103</v>
      </c>
      <c r="C182" s="211"/>
      <c r="D182" s="211"/>
      <c r="E182" s="211"/>
      <c r="F182" s="212"/>
      <c r="G182" s="251" t="s">
        <v>33</v>
      </c>
      <c r="H182" s="302">
        <v>198</v>
      </c>
      <c r="I182" s="52"/>
      <c r="J182" s="52"/>
      <c r="K182" s="52"/>
      <c r="L182" s="69">
        <f>L180</f>
        <v>1</v>
      </c>
      <c r="M182" s="97"/>
    </row>
    <row r="183" spans="1:14" ht="20.100000000000001" customHeight="1" x14ac:dyDescent="0.25">
      <c r="A183" s="309"/>
      <c r="B183" s="216"/>
      <c r="C183" s="217"/>
      <c r="D183" s="217"/>
      <c r="E183" s="217"/>
      <c r="F183" s="218"/>
      <c r="G183" s="251"/>
      <c r="H183" s="302"/>
      <c r="I183" s="34"/>
      <c r="J183" s="34"/>
      <c r="K183" s="34"/>
      <c r="L183" s="103">
        <f>N64</f>
        <v>5058.7535000562748</v>
      </c>
      <c r="M183" s="98"/>
    </row>
    <row r="184" spans="1:14" ht="20.100000000000001" customHeight="1" x14ac:dyDescent="0.25">
      <c r="A184" s="309"/>
      <c r="B184" s="210" t="s">
        <v>57</v>
      </c>
      <c r="C184" s="211"/>
      <c r="D184" s="211"/>
      <c r="E184" s="211"/>
      <c r="F184" s="212"/>
      <c r="G184" s="251" t="s">
        <v>101</v>
      </c>
      <c r="H184" s="302">
        <v>1</v>
      </c>
      <c r="I184" s="52"/>
      <c r="J184" s="52"/>
      <c r="K184" s="52"/>
      <c r="L184" s="69">
        <f>L182</f>
        <v>1</v>
      </c>
      <c r="M184" s="97"/>
    </row>
    <row r="185" spans="1:14" ht="20.100000000000001" customHeight="1" thickBot="1" x14ac:dyDescent="0.3">
      <c r="A185" s="305"/>
      <c r="B185" s="213"/>
      <c r="C185" s="214"/>
      <c r="D185" s="214"/>
      <c r="E185" s="214"/>
      <c r="F185" s="215"/>
      <c r="G185" s="294"/>
      <c r="H185" s="304"/>
      <c r="I185" s="91"/>
      <c r="J185" s="91"/>
      <c r="K185" s="91"/>
      <c r="L185" s="104">
        <f>N65</f>
        <v>4360.639905731633</v>
      </c>
      <c r="M185" s="100"/>
    </row>
    <row r="186" spans="1:14" ht="24.95" customHeight="1" x14ac:dyDescent="0.25">
      <c r="A186" s="310"/>
      <c r="B186" s="219" t="s">
        <v>90</v>
      </c>
      <c r="C186" s="220"/>
      <c r="D186" s="220"/>
      <c r="E186" s="220"/>
      <c r="F186" s="220"/>
      <c r="G186" s="220"/>
      <c r="H186" s="221"/>
      <c r="I186" s="93"/>
      <c r="J186" s="93"/>
      <c r="K186" s="93"/>
      <c r="L186" s="74">
        <v>1</v>
      </c>
      <c r="M186" s="87">
        <v>1</v>
      </c>
    </row>
    <row r="187" spans="1:14" ht="24.95" customHeight="1" thickBot="1" x14ac:dyDescent="0.3">
      <c r="A187" s="311"/>
      <c r="B187" s="222"/>
      <c r="C187" s="223"/>
      <c r="D187" s="223"/>
      <c r="E187" s="223"/>
      <c r="F187" s="223"/>
      <c r="G187" s="223"/>
      <c r="H187" s="224"/>
      <c r="I187" s="117"/>
      <c r="J187" s="117"/>
      <c r="K187" s="117"/>
      <c r="L187" s="121">
        <f>L181+L183+L185</f>
        <v>15934.45473161796</v>
      </c>
      <c r="M187" s="102">
        <f>SUM(I187:L187)</f>
        <v>15934.45473161796</v>
      </c>
    </row>
    <row r="188" spans="1:14" ht="20.100000000000001" customHeight="1" x14ac:dyDescent="0.25">
      <c r="A188" s="105"/>
      <c r="B188" s="139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2"/>
      <c r="N188" s="1"/>
    </row>
    <row r="189" spans="1:14" ht="20.100000000000001" customHeight="1" x14ac:dyDescent="0.25">
      <c r="A189" s="308">
        <v>7</v>
      </c>
      <c r="B189" s="210" t="s">
        <v>102</v>
      </c>
      <c r="C189" s="211"/>
      <c r="D189" s="211"/>
      <c r="E189" s="211"/>
      <c r="F189" s="212"/>
      <c r="G189" s="251" t="s">
        <v>100</v>
      </c>
      <c r="H189" s="251">
        <v>3</v>
      </c>
      <c r="I189" s="160"/>
      <c r="J189" s="70">
        <v>0.33333333333333337</v>
      </c>
      <c r="K189" s="188">
        <f>J189</f>
        <v>0.33333333333333337</v>
      </c>
      <c r="L189" s="69">
        <f>K189</f>
        <v>0.33333333333333337</v>
      </c>
      <c r="M189" s="189"/>
      <c r="N189" s="1"/>
    </row>
    <row r="190" spans="1:14" ht="20.100000000000001" customHeight="1" thickBot="1" x14ac:dyDescent="0.3">
      <c r="A190" s="258"/>
      <c r="B190" s="315"/>
      <c r="C190" s="316"/>
      <c r="D190" s="316"/>
      <c r="E190" s="316"/>
      <c r="F190" s="317"/>
      <c r="G190" s="294"/>
      <c r="H190" s="294"/>
      <c r="I190" s="190"/>
      <c r="J190" s="191">
        <f>N70/3</f>
        <v>9580.9725379853699</v>
      </c>
      <c r="K190" s="192">
        <f>N70/3</f>
        <v>9580.9725379853699</v>
      </c>
      <c r="L190" s="191">
        <f>N70/3</f>
        <v>9580.9725379853699</v>
      </c>
      <c r="M190" s="193">
        <f>J190+K190+L190</f>
        <v>28742.91761395611</v>
      </c>
      <c r="N190" s="1"/>
    </row>
    <row r="191" spans="1:14" ht="30" customHeight="1" x14ac:dyDescent="0.25">
      <c r="A191" s="299">
        <v>8</v>
      </c>
      <c r="B191" s="225" t="s">
        <v>61</v>
      </c>
      <c r="C191" s="226"/>
      <c r="D191" s="226"/>
      <c r="E191" s="226"/>
      <c r="F191" s="226"/>
      <c r="G191" s="226"/>
      <c r="H191" s="227"/>
      <c r="I191" s="106">
        <f>I192/M192</f>
        <v>0.13404347701106908</v>
      </c>
      <c r="J191" s="107">
        <f>J192/M192</f>
        <v>0.44513165042555775</v>
      </c>
      <c r="K191" s="122">
        <f>K192/M192</f>
        <v>0.40118527975616658</v>
      </c>
      <c r="L191" s="106">
        <f>L192/M192</f>
        <v>1.9639592807206594E-2</v>
      </c>
      <c r="M191" s="108"/>
    </row>
    <row r="192" spans="1:14" ht="30" customHeight="1" thickBot="1" x14ac:dyDescent="0.3">
      <c r="A192" s="300"/>
      <c r="B192" s="228"/>
      <c r="C192" s="229"/>
      <c r="D192" s="229"/>
      <c r="E192" s="229"/>
      <c r="F192" s="229"/>
      <c r="G192" s="229"/>
      <c r="H192" s="230"/>
      <c r="I192" s="109">
        <f>I96+I160</f>
        <v>174147.02138761614</v>
      </c>
      <c r="J192" s="110">
        <f>J96+J115+J143+J160+J178+J190</f>
        <v>578307.52212256589</v>
      </c>
      <c r="K192" s="111">
        <f>K115+K178+K190</f>
        <v>521213.13958697562</v>
      </c>
      <c r="L192" s="124">
        <f>L181+L183+L185+L190</f>
        <v>25515.427269603329</v>
      </c>
      <c r="M192" s="112">
        <f>M96+M115+M143+M160+M178+M187+M190</f>
        <v>1299183.110366761</v>
      </c>
    </row>
    <row r="195" spans="9:11" ht="15.75" x14ac:dyDescent="0.25">
      <c r="I195" s="28"/>
      <c r="J195" s="28"/>
      <c r="K195" s="28"/>
    </row>
  </sheetData>
  <mergeCells count="220">
    <mergeCell ref="B189:F190"/>
    <mergeCell ref="A117:M118"/>
    <mergeCell ref="A162:M163"/>
    <mergeCell ref="A80:M80"/>
    <mergeCell ref="A81:M81"/>
    <mergeCell ref="M119:M120"/>
    <mergeCell ref="H149:H150"/>
    <mergeCell ref="H151:H152"/>
    <mergeCell ref="H173:H174"/>
    <mergeCell ref="A167:A168"/>
    <mergeCell ref="G167:G168"/>
    <mergeCell ref="H167:H168"/>
    <mergeCell ref="A169:A170"/>
    <mergeCell ref="G169:G170"/>
    <mergeCell ref="H169:H170"/>
    <mergeCell ref="A171:A172"/>
    <mergeCell ref="G171:G172"/>
    <mergeCell ref="H171:H172"/>
    <mergeCell ref="B153:F154"/>
    <mergeCell ref="B155:F156"/>
    <mergeCell ref="B157:F158"/>
    <mergeCell ref="G119:G120"/>
    <mergeCell ref="H119:H120"/>
    <mergeCell ref="A124:A125"/>
    <mergeCell ref="H147:H148"/>
    <mergeCell ref="A149:A150"/>
    <mergeCell ref="G149:G150"/>
    <mergeCell ref="A126:A127"/>
    <mergeCell ref="A128:A129"/>
    <mergeCell ref="A130:A131"/>
    <mergeCell ref="H132:H133"/>
    <mergeCell ref="H134:H135"/>
    <mergeCell ref="H136:H137"/>
    <mergeCell ref="G126:G127"/>
    <mergeCell ref="G128:G129"/>
    <mergeCell ref="G130:G131"/>
    <mergeCell ref="H145:H146"/>
    <mergeCell ref="H126:H127"/>
    <mergeCell ref="H128:H129"/>
    <mergeCell ref="H130:H131"/>
    <mergeCell ref="G140:G141"/>
    <mergeCell ref="G138:G139"/>
    <mergeCell ref="G136:G137"/>
    <mergeCell ref="G122:G123"/>
    <mergeCell ref="G124:G125"/>
    <mergeCell ref="G132:G133"/>
    <mergeCell ref="G134:G135"/>
    <mergeCell ref="G145:G146"/>
    <mergeCell ref="H138:H139"/>
    <mergeCell ref="H140:H141"/>
    <mergeCell ref="H122:H123"/>
    <mergeCell ref="H124:H125"/>
    <mergeCell ref="G184:G185"/>
    <mergeCell ref="A180:A181"/>
    <mergeCell ref="A182:A183"/>
    <mergeCell ref="A184:A185"/>
    <mergeCell ref="A186:A187"/>
    <mergeCell ref="A119:A120"/>
    <mergeCell ref="A142:A143"/>
    <mergeCell ref="A145:A146"/>
    <mergeCell ref="A132:A133"/>
    <mergeCell ref="A134:A135"/>
    <mergeCell ref="A136:A137"/>
    <mergeCell ref="A138:A139"/>
    <mergeCell ref="A140:A141"/>
    <mergeCell ref="A122:A123"/>
    <mergeCell ref="A151:A152"/>
    <mergeCell ref="A153:A154"/>
    <mergeCell ref="A159:A160"/>
    <mergeCell ref="A157:A158"/>
    <mergeCell ref="G151:G152"/>
    <mergeCell ref="A147:A148"/>
    <mergeCell ref="G147:G148"/>
    <mergeCell ref="A106:A107"/>
    <mergeCell ref="A108:A109"/>
    <mergeCell ref="A110:A111"/>
    <mergeCell ref="A112:A113"/>
    <mergeCell ref="A114:A115"/>
    <mergeCell ref="A191:A192"/>
    <mergeCell ref="H180:H181"/>
    <mergeCell ref="H182:H183"/>
    <mergeCell ref="G157:G158"/>
    <mergeCell ref="G153:G154"/>
    <mergeCell ref="H157:H158"/>
    <mergeCell ref="H184:H185"/>
    <mergeCell ref="G180:G181"/>
    <mergeCell ref="G182:G183"/>
    <mergeCell ref="A155:A156"/>
    <mergeCell ref="G155:G156"/>
    <mergeCell ref="H155:H156"/>
    <mergeCell ref="H153:H154"/>
    <mergeCell ref="A189:A190"/>
    <mergeCell ref="A173:A174"/>
    <mergeCell ref="G173:G174"/>
    <mergeCell ref="G189:G190"/>
    <mergeCell ref="H189:H190"/>
    <mergeCell ref="A177:A178"/>
    <mergeCell ref="G100:G101"/>
    <mergeCell ref="G102:G103"/>
    <mergeCell ref="G104:G105"/>
    <mergeCell ref="H100:H101"/>
    <mergeCell ref="H102:H103"/>
    <mergeCell ref="H104:H105"/>
    <mergeCell ref="A98:A99"/>
    <mergeCell ref="A100:A101"/>
    <mergeCell ref="A102:A103"/>
    <mergeCell ref="A104:A105"/>
    <mergeCell ref="L41:N41"/>
    <mergeCell ref="I82:L82"/>
    <mergeCell ref="A85:A86"/>
    <mergeCell ref="A87:A88"/>
    <mergeCell ref="A89:A90"/>
    <mergeCell ref="A91:A92"/>
    <mergeCell ref="A93:A94"/>
    <mergeCell ref="A95:A96"/>
    <mergeCell ref="G85:G86"/>
    <mergeCell ref="G87:G88"/>
    <mergeCell ref="G89:G90"/>
    <mergeCell ref="H85:H86"/>
    <mergeCell ref="H87:H88"/>
    <mergeCell ref="H89:H90"/>
    <mergeCell ref="H91:H92"/>
    <mergeCell ref="G91:G92"/>
    <mergeCell ref="G93:G94"/>
    <mergeCell ref="H93:H94"/>
    <mergeCell ref="G41:I41"/>
    <mergeCell ref="B82:F83"/>
    <mergeCell ref="B91:F92"/>
    <mergeCell ref="B93:F94"/>
    <mergeCell ref="A2:N2"/>
    <mergeCell ref="A1:N1"/>
    <mergeCell ref="A6:A7"/>
    <mergeCell ref="A82:A83"/>
    <mergeCell ref="M82:M83"/>
    <mergeCell ref="L6:N6"/>
    <mergeCell ref="E6:F6"/>
    <mergeCell ref="G6:I6"/>
    <mergeCell ref="A76:N77"/>
    <mergeCell ref="A74:N75"/>
    <mergeCell ref="G82:G83"/>
    <mergeCell ref="H82:H83"/>
    <mergeCell ref="B6:B7"/>
    <mergeCell ref="D6:D7"/>
    <mergeCell ref="C6:C7"/>
    <mergeCell ref="A4:N4"/>
    <mergeCell ref="A3:N3"/>
    <mergeCell ref="J6:K6"/>
    <mergeCell ref="J41:K41"/>
    <mergeCell ref="B72:F72"/>
    <mergeCell ref="A41:A42"/>
    <mergeCell ref="B41:B42"/>
    <mergeCell ref="C41:C42"/>
    <mergeCell ref="B14:F14"/>
    <mergeCell ref="B25:F25"/>
    <mergeCell ref="B38:F38"/>
    <mergeCell ref="B52:F52"/>
    <mergeCell ref="B60:F60"/>
    <mergeCell ref="B66:F66"/>
    <mergeCell ref="B70:F70"/>
    <mergeCell ref="B71:F71"/>
    <mergeCell ref="D41:D42"/>
    <mergeCell ref="E41:F41"/>
    <mergeCell ref="I119:L119"/>
    <mergeCell ref="B85:F86"/>
    <mergeCell ref="B87:F88"/>
    <mergeCell ref="B89:F90"/>
    <mergeCell ref="B110:F111"/>
    <mergeCell ref="B112:F113"/>
    <mergeCell ref="B122:F123"/>
    <mergeCell ref="B119:F120"/>
    <mergeCell ref="B124:F125"/>
    <mergeCell ref="H106:H107"/>
    <mergeCell ref="H108:H109"/>
    <mergeCell ref="H110:H111"/>
    <mergeCell ref="H112:H113"/>
    <mergeCell ref="G106:G107"/>
    <mergeCell ref="B98:F99"/>
    <mergeCell ref="B100:F101"/>
    <mergeCell ref="B102:F103"/>
    <mergeCell ref="B104:F105"/>
    <mergeCell ref="B106:F107"/>
    <mergeCell ref="B108:F109"/>
    <mergeCell ref="G108:G109"/>
    <mergeCell ref="G110:G111"/>
    <mergeCell ref="G112:G113"/>
    <mergeCell ref="G98:G99"/>
    <mergeCell ref="B186:H187"/>
    <mergeCell ref="B191:H192"/>
    <mergeCell ref="B159:H160"/>
    <mergeCell ref="B142:H143"/>
    <mergeCell ref="B114:H115"/>
    <mergeCell ref="B95:H96"/>
    <mergeCell ref="A164:A165"/>
    <mergeCell ref="B164:F165"/>
    <mergeCell ref="G164:G165"/>
    <mergeCell ref="H164:H165"/>
    <mergeCell ref="B184:F185"/>
    <mergeCell ref="B132:F133"/>
    <mergeCell ref="B134:F135"/>
    <mergeCell ref="B145:F146"/>
    <mergeCell ref="B147:F148"/>
    <mergeCell ref="B149:F150"/>
    <mergeCell ref="B151:F152"/>
    <mergeCell ref="B126:F127"/>
    <mergeCell ref="B128:F129"/>
    <mergeCell ref="B130:F131"/>
    <mergeCell ref="B136:F137"/>
    <mergeCell ref="B138:F139"/>
    <mergeCell ref="B140:F141"/>
    <mergeCell ref="H98:H99"/>
    <mergeCell ref="I164:L164"/>
    <mergeCell ref="M164:M165"/>
    <mergeCell ref="B175:F176"/>
    <mergeCell ref="B173:F174"/>
    <mergeCell ref="B167:F168"/>
    <mergeCell ref="B169:F170"/>
    <mergeCell ref="B171:F172"/>
    <mergeCell ref="B180:F181"/>
    <mergeCell ref="B182:F183"/>
    <mergeCell ref="B177:H178"/>
  </mergeCells>
  <pageMargins left="0.23622047244094491" right="0.23622047244094491" top="0.55118110236220474" bottom="0.55118110236220474" header="0.11811023622047245" footer="0.11811023622047245"/>
  <pageSetup paperSize="9" scale="58" orientation="landscape" r:id="rId1"/>
  <headerFooter>
    <oddFooter>&amp;C&amp;P/&amp;N</oddFooter>
  </headerFooter>
  <rowBreaks count="3" manualBreakCount="3">
    <brk id="38" max="16383" man="1"/>
    <brk id="78" max="16383" man="1"/>
    <brk id="1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D14" sqref="D14"/>
    </sheetView>
  </sheetViews>
  <sheetFormatPr defaultRowHeight="15" x14ac:dyDescent="0.25"/>
  <cols>
    <col min="2" max="2" width="36.28515625" customWidth="1"/>
    <col min="3" max="3" width="19.140625" customWidth="1"/>
    <col min="4" max="4" width="16.42578125" customWidth="1"/>
    <col min="5" max="5" width="16" customWidth="1"/>
    <col min="6" max="6" width="14.5703125" customWidth="1"/>
    <col min="7" max="8" width="16" customWidth="1"/>
    <col min="9" max="9" width="17.140625" customWidth="1"/>
    <col min="10" max="10" width="6.7109375" customWidth="1"/>
  </cols>
  <sheetData>
    <row r="1" spans="1:11" ht="35.1" customHeight="1" x14ac:dyDescent="0.35">
      <c r="A1" s="333" t="s">
        <v>107</v>
      </c>
      <c r="B1" s="334"/>
      <c r="C1" s="335"/>
      <c r="D1" s="137"/>
    </row>
    <row r="2" spans="1:11" ht="24.95" customHeight="1" x14ac:dyDescent="0.25">
      <c r="A2" s="146">
        <v>1</v>
      </c>
      <c r="B2" s="24" t="s">
        <v>108</v>
      </c>
      <c r="C2" s="147" t="s">
        <v>109</v>
      </c>
    </row>
    <row r="3" spans="1:11" x14ac:dyDescent="0.25">
      <c r="A3" s="10" t="s">
        <v>110</v>
      </c>
      <c r="B3" s="7" t="s">
        <v>120</v>
      </c>
      <c r="C3" s="143">
        <v>0.02</v>
      </c>
      <c r="K3" s="5"/>
    </row>
    <row r="4" spans="1:11" x14ac:dyDescent="0.25">
      <c r="A4" s="10" t="s">
        <v>111</v>
      </c>
      <c r="B4" s="7" t="s">
        <v>139</v>
      </c>
      <c r="C4" s="143">
        <v>8.0000000000000002E-3</v>
      </c>
      <c r="K4" s="5"/>
    </row>
    <row r="5" spans="1:11" x14ac:dyDescent="0.25">
      <c r="A5" s="10" t="s">
        <v>112</v>
      </c>
      <c r="B5" s="7" t="s">
        <v>138</v>
      </c>
      <c r="C5" s="143">
        <v>2E-3</v>
      </c>
      <c r="K5" s="5"/>
    </row>
    <row r="6" spans="1:11" x14ac:dyDescent="0.25">
      <c r="A6" s="10" t="s">
        <v>113</v>
      </c>
      <c r="B6" s="7" t="s">
        <v>140</v>
      </c>
      <c r="C6" s="143">
        <v>3.0000000000000001E-3</v>
      </c>
      <c r="K6" s="5"/>
    </row>
    <row r="7" spans="1:11" x14ac:dyDescent="0.25">
      <c r="A7" s="10" t="s">
        <v>114</v>
      </c>
      <c r="B7" s="7" t="s">
        <v>127</v>
      </c>
      <c r="C7" s="143">
        <v>8.0000000000000002E-3</v>
      </c>
      <c r="K7" s="5"/>
    </row>
    <row r="8" spans="1:11" x14ac:dyDescent="0.25">
      <c r="A8" s="10" t="s">
        <v>141</v>
      </c>
      <c r="B8" s="7" t="s">
        <v>126</v>
      </c>
      <c r="C8" s="143">
        <v>3.5000000000000003E-2</v>
      </c>
      <c r="K8" s="5"/>
    </row>
    <row r="9" spans="1:11" x14ac:dyDescent="0.25">
      <c r="A9" s="10" t="s">
        <v>142</v>
      </c>
      <c r="B9" s="7" t="s">
        <v>128</v>
      </c>
      <c r="C9" s="143">
        <f>C10+C11+C12</f>
        <v>7.6499999999999999E-2</v>
      </c>
      <c r="K9" s="5"/>
    </row>
    <row r="10" spans="1:11" x14ac:dyDescent="0.25">
      <c r="A10" s="10" t="s">
        <v>143</v>
      </c>
      <c r="B10" s="7" t="s">
        <v>131</v>
      </c>
      <c r="C10" s="143">
        <v>6.4999999999999997E-3</v>
      </c>
      <c r="K10" s="5"/>
    </row>
    <row r="11" spans="1:11" x14ac:dyDescent="0.25">
      <c r="A11" s="10" t="s">
        <v>144</v>
      </c>
      <c r="B11" s="7" t="s">
        <v>132</v>
      </c>
      <c r="C11" s="143">
        <v>0.04</v>
      </c>
      <c r="K11" s="5"/>
    </row>
    <row r="12" spans="1:11" x14ac:dyDescent="0.25">
      <c r="A12" s="10" t="s">
        <v>145</v>
      </c>
      <c r="B12" s="7" t="s">
        <v>130</v>
      </c>
      <c r="C12" s="143">
        <v>0.03</v>
      </c>
      <c r="K12" s="5"/>
    </row>
    <row r="13" spans="1:11" ht="15.75" thickBot="1" x14ac:dyDescent="0.3">
      <c r="A13" s="148" t="s">
        <v>146</v>
      </c>
      <c r="B13" s="149" t="s">
        <v>137</v>
      </c>
      <c r="C13" s="150">
        <f>(((1+(C3+C4+C5+C6))*(1+C7)*(1+C8))/(1-C9))-1</f>
        <v>0.16698239306984308</v>
      </c>
      <c r="K13" s="5"/>
    </row>
    <row r="14" spans="1:11" ht="15.75" thickBot="1" x14ac:dyDescent="0.3">
      <c r="A14" s="336"/>
      <c r="B14" s="337"/>
      <c r="C14" s="338"/>
      <c r="K14" s="5"/>
    </row>
    <row r="15" spans="1:11" ht="24.95" customHeight="1" x14ac:dyDescent="0.25">
      <c r="A15" s="21">
        <v>2</v>
      </c>
      <c r="B15" s="144" t="s">
        <v>147</v>
      </c>
      <c r="C15" s="145" t="s">
        <v>109</v>
      </c>
    </row>
    <row r="16" spans="1:11" x14ac:dyDescent="0.25">
      <c r="A16" s="10" t="s">
        <v>115</v>
      </c>
      <c r="B16" s="7" t="s">
        <v>120</v>
      </c>
      <c r="C16" s="143">
        <v>4.2000000000000003E-2</v>
      </c>
    </row>
    <row r="17" spans="1:3" x14ac:dyDescent="0.25">
      <c r="A17" s="10" t="s">
        <v>116</v>
      </c>
      <c r="B17" s="7" t="s">
        <v>121</v>
      </c>
      <c r="C17" s="143">
        <f>C18+C19</f>
        <v>1.32E-2</v>
      </c>
    </row>
    <row r="18" spans="1:3" x14ac:dyDescent="0.25">
      <c r="A18" s="10" t="s">
        <v>122</v>
      </c>
      <c r="B18" s="7" t="s">
        <v>124</v>
      </c>
      <c r="C18" s="143">
        <v>3.2000000000000002E-3</v>
      </c>
    </row>
    <row r="19" spans="1:3" x14ac:dyDescent="0.25">
      <c r="A19" s="10" t="s">
        <v>123</v>
      </c>
      <c r="B19" s="7" t="s">
        <v>125</v>
      </c>
      <c r="C19" s="143">
        <v>0.01</v>
      </c>
    </row>
    <row r="20" spans="1:3" x14ac:dyDescent="0.25">
      <c r="A20" s="10" t="s">
        <v>117</v>
      </c>
      <c r="B20" s="7" t="s">
        <v>127</v>
      </c>
      <c r="C20" s="143">
        <v>0.01</v>
      </c>
    </row>
    <row r="21" spans="1:3" x14ac:dyDescent="0.25">
      <c r="A21" s="10" t="s">
        <v>118</v>
      </c>
      <c r="B21" s="7" t="s">
        <v>126</v>
      </c>
      <c r="C21" s="143">
        <v>6.5000000000000002E-2</v>
      </c>
    </row>
    <row r="22" spans="1:3" x14ac:dyDescent="0.25">
      <c r="A22" s="10" t="s">
        <v>119</v>
      </c>
      <c r="B22" s="7" t="s">
        <v>128</v>
      </c>
      <c r="C22" s="143">
        <f>C23+C24+C25+C26</f>
        <v>0.1115</v>
      </c>
    </row>
    <row r="23" spans="1:3" x14ac:dyDescent="0.25">
      <c r="A23" s="10" t="s">
        <v>133</v>
      </c>
      <c r="B23" s="7" t="s">
        <v>129</v>
      </c>
      <c r="C23" s="143">
        <v>4.4999999999999998E-2</v>
      </c>
    </row>
    <row r="24" spans="1:3" x14ac:dyDescent="0.25">
      <c r="A24" s="10" t="s">
        <v>134</v>
      </c>
      <c r="B24" s="7" t="s">
        <v>130</v>
      </c>
      <c r="C24" s="143">
        <v>0.03</v>
      </c>
    </row>
    <row r="25" spans="1:3" x14ac:dyDescent="0.25">
      <c r="A25" s="10" t="s">
        <v>135</v>
      </c>
      <c r="B25" s="7" t="s">
        <v>131</v>
      </c>
      <c r="C25" s="143">
        <v>6.4999999999999997E-3</v>
      </c>
    </row>
    <row r="26" spans="1:3" x14ac:dyDescent="0.25">
      <c r="A26" s="10" t="s">
        <v>136</v>
      </c>
      <c r="B26" s="7" t="s">
        <v>132</v>
      </c>
      <c r="C26" s="143">
        <v>0.03</v>
      </c>
    </row>
    <row r="27" spans="1:3" ht="15.75" thickBot="1" x14ac:dyDescent="0.3">
      <c r="A27" s="148" t="s">
        <v>119</v>
      </c>
      <c r="B27" s="149" t="s">
        <v>137</v>
      </c>
      <c r="C27" s="150">
        <f>(((1+C16+C17)*(1+C20)*(1+C21))/(1-C22))-1</f>
        <v>0.277463005064716</v>
      </c>
    </row>
    <row r="28" spans="1:3" x14ac:dyDescent="0.25">
      <c r="A28" s="337"/>
      <c r="B28" s="337"/>
      <c r="C28" s="337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77" spans="4:4" x14ac:dyDescent="0.25">
      <c r="D77" s="1"/>
    </row>
  </sheetData>
  <mergeCells count="3">
    <mergeCell ref="A1:C1"/>
    <mergeCell ref="A14:C14"/>
    <mergeCell ref="A28:C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BDI</vt:lpstr>
      <vt:lpstr>Plan3</vt:lpstr>
      <vt:lpstr>Plan1!Area_de_impressao</vt:lpstr>
    </vt:vector>
  </TitlesOfParts>
  <Company>Espaço Guadalupe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cftv1</dc:creator>
  <cp:lastModifiedBy>Adm</cp:lastModifiedBy>
  <cp:lastPrinted>2017-09-01T21:05:47Z</cp:lastPrinted>
  <dcterms:created xsi:type="dcterms:W3CDTF">2017-05-18T04:42:49Z</dcterms:created>
  <dcterms:modified xsi:type="dcterms:W3CDTF">2017-09-01T21:06:34Z</dcterms:modified>
</cp:coreProperties>
</file>